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195" windowHeight="10425" tabRatio="887" activeTab="0"/>
  </bookViews>
  <sheets>
    <sheet name="Aktualizacja_VII_02_20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<sst xmlns="http://schemas.openxmlformats.org/spreadsheetml/2006/main" count="248" uniqueCount="104">
  <si>
    <t>Zał. 3. Indykatywny plan finansowy POIR (wydatki kwalifikowalne w EUR)</t>
  </si>
  <si>
    <t>Tabela finansowa PO IR</t>
  </si>
  <si>
    <t>Priorytet inwestycyjny</t>
  </si>
  <si>
    <t>Kategoria regionu (*)</t>
  </si>
  <si>
    <t>Wsparcie UE</t>
  </si>
  <si>
    <t>Wkład krajowy</t>
  </si>
  <si>
    <t>Krajowe środki publiczne</t>
  </si>
  <si>
    <t>Krajowe środki prywatne</t>
  </si>
  <si>
    <t>Finansowanie ogółem</t>
  </si>
  <si>
    <t>Szacowany
poziom 
cross-financingu (%)</t>
  </si>
  <si>
    <t>Główna alokacja (**)</t>
  </si>
  <si>
    <t>Rezerwa wykonania</t>
  </si>
  <si>
    <t>Udział rezerwy wykonania w stos. Do całkowitej kwoty wsparcia UE</t>
  </si>
  <si>
    <t>Wkład EBI</t>
  </si>
  <si>
    <t>ogółem</t>
  </si>
  <si>
    <t>FS</t>
  </si>
  <si>
    <t>EFRR</t>
  </si>
  <si>
    <t>EFS</t>
  </si>
  <si>
    <t>budżet
państwa</t>
  </si>
  <si>
    <t>budżet samorządu 
wojewódzkiego</t>
  </si>
  <si>
    <t>budżety 
pozostałych jst</t>
  </si>
  <si>
    <t>inne</t>
  </si>
  <si>
    <t>Wsparcie
UE</t>
  </si>
  <si>
    <t>Wsparcie 
UE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</si>
  <si>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</si>
  <si>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</si>
  <si>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</si>
  <si>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</si>
  <si>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</si>
  <si>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</si>
  <si>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</si>
  <si>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</si>
  <si>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</si>
  <si>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</si>
  <si>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</si>
  <si>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</si>
  <si>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</si>
  <si>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</si>
  <si>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</si>
  <si>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</si>
  <si>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</si>
  <si>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=b+c+d</t>
  </si>
  <si>
    <t>=f+k</t>
  </si>
  <si>
    <t>=g+h+i+j</t>
  </si>
  <si>
    <t>=a+e</t>
  </si>
  <si>
    <t>=a-o</t>
  </si>
  <si>
    <t>=o/a*100</t>
  </si>
  <si>
    <t>oś priorytetowa nr 1.</t>
  </si>
  <si>
    <t>1b</t>
  </si>
  <si>
    <t>słabiej rozwinięte</t>
  </si>
  <si>
    <t>lepiej rozwinięte</t>
  </si>
  <si>
    <t>działanie nr 1.1.</t>
  </si>
  <si>
    <t>poddziałanie nr 1.1.1</t>
  </si>
  <si>
    <t>poddziałanie nr 1.1.2</t>
  </si>
  <si>
    <t>działanie nr 1.2.</t>
  </si>
  <si>
    <t>działanie nr 1.3.</t>
  </si>
  <si>
    <t>poddziałanie 1.3.1-alfa</t>
  </si>
  <si>
    <t>poddziałanie 1.3.1</t>
  </si>
  <si>
    <t>poddziałanie 1.3.2-vc</t>
  </si>
  <si>
    <t>poddziałanie 1.3.2</t>
  </si>
  <si>
    <t>oś priorytetowa nr 2</t>
  </si>
  <si>
    <t>działanie 2.1</t>
  </si>
  <si>
    <r>
      <t>działanie 2.2</t>
    </r>
    <r>
      <rPr>
        <i/>
        <sz val="9"/>
        <rFont val="Arial"/>
        <family val="2"/>
      </rPr>
      <t>Komponent I</t>
    </r>
  </si>
  <si>
    <r>
      <t>działanie 2.2</t>
    </r>
    <r>
      <rPr>
        <i/>
        <sz val="9"/>
        <rFont val="Arial"/>
        <family val="2"/>
      </rPr>
      <t>Komponent II</t>
    </r>
  </si>
  <si>
    <t>działanie 2.3</t>
  </si>
  <si>
    <r>
      <t>poddziałanie 2.3.1</t>
    </r>
  </si>
  <si>
    <r>
      <t>poddziałanie 2.3.2</t>
    </r>
  </si>
  <si>
    <t>poddziałanie 2.3.3</t>
  </si>
  <si>
    <t>poddziałanie 2.3.4</t>
  </si>
  <si>
    <t>poddziałanie 2.3.5</t>
  </si>
  <si>
    <t>działanie 2.4</t>
  </si>
  <si>
    <t>poddziałanie 2.4.1</t>
  </si>
  <si>
    <t>poddziałanie 2.4.2</t>
  </si>
  <si>
    <t>oś priorytetowa nr 3</t>
  </si>
  <si>
    <t>3a</t>
  </si>
  <si>
    <t>3c</t>
  </si>
  <si>
    <t>działanie 3.1</t>
  </si>
  <si>
    <t>poddziałanie 3.1.1</t>
  </si>
  <si>
    <t>poddziałanie 3.1.2</t>
  </si>
  <si>
    <t>poddziałanie 3.1.3</t>
  </si>
  <si>
    <t>poddziałanie 3.1.4</t>
  </si>
  <si>
    <t>poddziałanie 3.1.5</t>
  </si>
  <si>
    <t>działanie 3.2</t>
  </si>
  <si>
    <t>poddziałanie 3.2.1</t>
  </si>
  <si>
    <t>poddziałanie 3.2.2</t>
  </si>
  <si>
    <t>poddziałanie 3.2.3</t>
  </si>
  <si>
    <t>działanie 3.3</t>
  </si>
  <si>
    <t>poddziałanie 3.3.1</t>
  </si>
  <si>
    <t>poddziałanie 3.3.2</t>
  </si>
  <si>
    <t>poddziałanie 3.3.3</t>
  </si>
  <si>
    <t>oś priorytetowa nr 4.</t>
  </si>
  <si>
    <t>1a</t>
  </si>
  <si>
    <t>działanie 4.1</t>
  </si>
  <si>
    <t>działanie 4.2</t>
  </si>
  <si>
    <t>działanie 4.3</t>
  </si>
  <si>
    <t>działanie 4.4</t>
  </si>
  <si>
    <t>oś priorytetowa nr 5.</t>
  </si>
  <si>
    <t>ND</t>
  </si>
  <si>
    <t>działanie nr 5.1</t>
  </si>
  <si>
    <t>RAZEM</t>
  </si>
  <si>
    <t>poddziałanie 4.1.1</t>
  </si>
  <si>
    <t>poddziałanie 4.1.2</t>
  </si>
  <si>
    <t>poddziałanie 4.1.3</t>
  </si>
  <si>
    <t>poddziałanie 4.1.4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</si>
</sst>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 style="dotted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dotted"/>
      <top style="hair"/>
      <bottom style="hair"/>
    </border>
    <border>
      <left style="thin"/>
      <right style="hair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hair"/>
      <bottom/>
    </border>
    <border>
      <left style="dotted"/>
      <right style="hair"/>
      <top style="hair"/>
      <bottom/>
    </border>
    <border>
      <left style="hair"/>
      <right/>
      <top style="hair"/>
      <bottom/>
    </border>
    <border>
      <left style="hair"/>
      <right style="dotted"/>
      <top style="hair"/>
      <bottom/>
    </border>
    <border>
      <left/>
      <right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 style="dotted"/>
      <top style="thin"/>
      <bottom style="hair"/>
    </border>
    <border>
      <left style="thin"/>
      <right style="hair"/>
      <top/>
      <bottom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10" xfId="54" applyFont="1" applyBorder="1" applyAlignment="1">
      <alignment vertical="center" wrapText="1"/>
    </xf>
    <xf numFmtId="0" fontId="2" fillId="33" borderId="11" xfId="54" applyFont="1" applyFill="1" applyBorder="1" applyAlignment="1">
      <alignment vertical="center" wrapText="1"/>
    </xf>
    <xf numFmtId="0" fontId="2" fillId="0" borderId="11" xfId="54" applyFont="1" applyBorder="1" applyAlignment="1">
      <alignment vertical="center" wrapText="1"/>
    </xf>
    <xf numFmtId="4" fontId="2" fillId="34" borderId="11" xfId="54" applyNumberFormat="1" applyFont="1" applyFill="1" applyBorder="1" applyAlignment="1">
      <alignment horizontal="right" vertical="center" wrapText="1"/>
    </xf>
    <xf numFmtId="2" fontId="2" fillId="35" borderId="11" xfId="54" applyNumberFormat="1" applyFont="1" applyFill="1" applyBorder="1" applyAlignment="1">
      <alignment horizontal="right" vertical="center" wrapText="1"/>
    </xf>
    <xf numFmtId="0" fontId="41" fillId="0" borderId="0" xfId="54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2" fillId="0" borderId="12" xfId="54" applyFont="1" applyBorder="1" applyAlignment="1">
      <alignment vertical="center" wrapText="1"/>
    </xf>
    <xf numFmtId="0" fontId="2" fillId="36" borderId="13" xfId="54" applyFont="1" applyFill="1" applyBorder="1" applyAlignment="1">
      <alignment vertical="center" wrapText="1"/>
    </xf>
    <xf numFmtId="0" fontId="2" fillId="0" borderId="13" xfId="54" applyFont="1" applyBorder="1" applyAlignment="1">
      <alignment vertical="center" wrapText="1"/>
    </xf>
    <xf numFmtId="0" fontId="2" fillId="0" borderId="14" xfId="54" applyFont="1" applyBorder="1" applyAlignment="1">
      <alignment vertical="center" textRotation="90" wrapText="1"/>
    </xf>
    <xf numFmtId="0" fontId="2" fillId="0" borderId="15" xfId="54" applyFont="1" applyBorder="1" applyAlignment="1">
      <alignment vertical="center" textRotation="90" wrapText="1"/>
    </xf>
    <xf numFmtId="0" fontId="2" fillId="0" borderId="16" xfId="54" applyFont="1" applyBorder="1" applyAlignment="1">
      <alignment vertical="center" textRotation="90" wrapText="1"/>
    </xf>
    <xf numFmtId="0" fontId="2" fillId="0" borderId="17" xfId="54" applyFont="1" applyBorder="1" applyAlignment="1">
      <alignment vertical="center" textRotation="90" wrapText="1"/>
    </xf>
    <xf numFmtId="0" fontId="2" fillId="0" borderId="18" xfId="54" applyFont="1" applyBorder="1" applyAlignment="1">
      <alignment vertical="center" textRotation="90" wrapText="1"/>
    </xf>
    <xf numFmtId="0" fontId="2" fillId="0" borderId="19" xfId="54" applyFont="1" applyBorder="1" applyAlignment="1">
      <alignment vertical="center" textRotation="90" wrapText="1"/>
    </xf>
    <xf numFmtId="0" fontId="2" fillId="0" borderId="20" xfId="54" applyFont="1" applyBorder="1" applyAlignment="1">
      <alignment vertical="center" textRotation="90" wrapText="1"/>
    </xf>
    <xf numFmtId="0" fontId="2" fillId="36" borderId="14" xfId="54" applyFont="1" applyFill="1" applyBorder="1" applyAlignment="1">
      <alignment vertical="center" textRotation="90" wrapText="1"/>
    </xf>
    <xf numFmtId="3" fontId="2" fillId="36" borderId="13" xfId="54" applyNumberFormat="1" applyFont="1" applyFill="1" applyBorder="1" applyAlignment="1">
      <alignment horizontal="right" vertical="center" wrapText="1"/>
    </xf>
    <xf numFmtId="3" fontId="2" fillId="36" borderId="21" xfId="54" applyNumberFormat="1" applyFont="1" applyFill="1" applyBorder="1" applyAlignment="1">
      <alignment horizontal="right" vertical="center" wrapText="1"/>
    </xf>
    <xf numFmtId="0" fontId="2" fillId="0" borderId="22" xfId="54" applyFont="1" applyBorder="1" applyAlignment="1">
      <alignment vertical="center" wrapText="1"/>
    </xf>
    <xf numFmtId="0" fontId="2" fillId="0" borderId="23" xfId="54" applyFont="1" applyBorder="1" applyAlignment="1">
      <alignment vertical="center" wrapText="1"/>
    </xf>
    <xf numFmtId="3" fontId="2" fillId="34" borderId="11" xfId="54" applyNumberFormat="1" applyFont="1" applyFill="1" applyBorder="1" applyAlignment="1">
      <alignment horizontal="right" vertical="center" wrapText="1"/>
    </xf>
    <xf numFmtId="2" fontId="2" fillId="34" borderId="11" xfId="54" applyNumberFormat="1" applyFont="1" applyFill="1" applyBorder="1" applyAlignment="1">
      <alignment horizontal="right" vertical="center" wrapText="1"/>
    </xf>
    <xf numFmtId="3" fontId="2" fillId="36" borderId="11" xfId="54" applyNumberFormat="1" applyFont="1" applyFill="1" applyBorder="1" applyAlignment="1">
      <alignment horizontal="right" vertical="center" wrapText="1"/>
    </xf>
    <xf numFmtId="0" fontId="2" fillId="36" borderId="11" xfId="54" applyFont="1" applyFill="1" applyBorder="1" applyAlignment="1">
      <alignment horizontal="right" vertical="center" wrapText="1"/>
    </xf>
    <xf numFmtId="0" fontId="42" fillId="36" borderId="0" xfId="0" applyFont="1" applyFill="1" applyAlignment="1">
      <alignment/>
    </xf>
    <xf numFmtId="0" fontId="2" fillId="0" borderId="14" xfId="54" applyFont="1" applyBorder="1" applyAlignment="1">
      <alignment vertical="center" wrapText="1"/>
    </xf>
    <xf numFmtId="0" fontId="2" fillId="0" borderId="15" xfId="54" applyFont="1" applyBorder="1" applyAlignment="1">
      <alignment vertical="center" wrapText="1"/>
    </xf>
    <xf numFmtId="0" fontId="2" fillId="0" borderId="16" xfId="54" applyFont="1" applyBorder="1" applyAlignment="1">
      <alignment vertical="center" wrapText="1"/>
    </xf>
    <xf numFmtId="0" fontId="2" fillId="0" borderId="17" xfId="54" applyFont="1" applyBorder="1" applyAlignment="1">
      <alignment vertical="center" wrapText="1"/>
    </xf>
    <xf numFmtId="0" fontId="2" fillId="0" borderId="18" xfId="54" applyFont="1" applyBorder="1" applyAlignment="1">
      <alignment vertical="center" wrapText="1"/>
    </xf>
    <xf numFmtId="0" fontId="2" fillId="0" borderId="19" xfId="54" applyFont="1" applyBorder="1" applyAlignment="1">
      <alignment vertical="center" wrapText="1"/>
    </xf>
    <xf numFmtId="0" fontId="2" fillId="0" borderId="20" xfId="54" applyFont="1" applyBorder="1" applyAlignment="1">
      <alignment vertical="center" wrapText="1"/>
    </xf>
    <xf numFmtId="0" fontId="2" fillId="0" borderId="24" xfId="54" applyFont="1" applyBorder="1" applyAlignment="1">
      <alignment vertical="center" wrapText="1"/>
    </xf>
    <xf numFmtId="0" fontId="2" fillId="36" borderId="14" xfId="54" applyFont="1" applyFill="1" applyBorder="1" applyAlignment="1">
      <alignment vertical="center" wrapText="1"/>
    </xf>
    <xf numFmtId="0" fontId="2" fillId="0" borderId="25" xfId="54" applyFont="1" applyBorder="1" applyAlignment="1">
      <alignment vertical="center" wrapText="1"/>
    </xf>
    <xf numFmtId="0" fontId="2" fillId="0" borderId="26" xfId="54" applyFont="1" applyBorder="1" applyAlignment="1">
      <alignment vertical="center" wrapText="1"/>
    </xf>
    <xf numFmtId="0" fontId="2" fillId="0" borderId="27" xfId="54" applyFont="1" applyBorder="1" applyAlignment="1">
      <alignment vertical="center" wrapText="1"/>
    </xf>
    <xf numFmtId="0" fontId="2" fillId="0" borderId="28" xfId="54" applyFont="1" applyBorder="1" applyAlignment="1">
      <alignment vertical="center" wrapText="1"/>
    </xf>
    <xf numFmtId="0" fontId="2" fillId="0" borderId="29" xfId="54" applyFont="1" applyBorder="1" applyAlignment="1">
      <alignment vertical="center" wrapText="1"/>
    </xf>
    <xf numFmtId="0" fontId="2" fillId="0" borderId="30" xfId="54" applyFont="1" applyBorder="1" applyAlignment="1">
      <alignment vertical="center" wrapText="1"/>
    </xf>
    <xf numFmtId="0" fontId="2" fillId="0" borderId="31" xfId="54" applyFont="1" applyBorder="1" applyAlignment="1">
      <alignment vertical="center" wrapText="1"/>
    </xf>
    <xf numFmtId="0" fontId="2" fillId="0" borderId="32" xfId="54" applyFont="1" applyBorder="1" applyAlignment="1">
      <alignment vertical="center" wrapText="1"/>
    </xf>
    <xf numFmtId="0" fontId="2" fillId="36" borderId="25" xfId="54" applyFont="1" applyFill="1" applyBorder="1" applyAlignment="1">
      <alignment vertical="center" wrapText="1"/>
    </xf>
    <xf numFmtId="3" fontId="2" fillId="36" borderId="33" xfId="54" applyNumberFormat="1" applyFont="1" applyFill="1" applyBorder="1" applyAlignment="1">
      <alignment horizontal="right" vertical="center" wrapText="1"/>
    </xf>
    <xf numFmtId="3" fontId="2" fillId="36" borderId="34" xfId="54" applyNumberFormat="1" applyFont="1" applyFill="1" applyBorder="1" applyAlignment="1">
      <alignment horizontal="right" vertical="center" wrapText="1"/>
    </xf>
    <xf numFmtId="3" fontId="2" fillId="36" borderId="35" xfId="54" applyNumberFormat="1" applyFont="1" applyFill="1" applyBorder="1" applyAlignment="1">
      <alignment horizontal="right" vertical="center" wrapText="1"/>
    </xf>
    <xf numFmtId="3" fontId="2" fillId="36" borderId="36" xfId="54" applyNumberFormat="1" applyFont="1" applyFill="1" applyBorder="1" applyAlignment="1">
      <alignment horizontal="right" vertical="center" wrapText="1"/>
    </xf>
    <xf numFmtId="0" fontId="2" fillId="36" borderId="11" xfId="54" applyFont="1" applyFill="1" applyBorder="1" applyAlignment="1">
      <alignment horizontal="justify" vertical="center" wrapText="1"/>
    </xf>
    <xf numFmtId="3" fontId="2" fillId="34" borderId="11" xfId="54" applyNumberFormat="1" applyFont="1" applyFill="1" applyBorder="1" applyAlignment="1">
      <alignment vertical="center" wrapText="1"/>
    </xf>
    <xf numFmtId="9" fontId="2" fillId="36" borderId="11" xfId="54" applyNumberFormat="1" applyFont="1" applyFill="1" applyBorder="1" applyAlignment="1">
      <alignment horizontal="right" vertical="center" wrapText="1"/>
    </xf>
    <xf numFmtId="0" fontId="2" fillId="36" borderId="37" xfId="54" applyFont="1" applyFill="1" applyBorder="1" applyAlignment="1">
      <alignment vertical="center" wrapText="1"/>
    </xf>
    <xf numFmtId="3" fontId="2" fillId="36" borderId="38" xfId="54" applyNumberFormat="1" applyFont="1" applyFill="1" applyBorder="1" applyAlignment="1">
      <alignment horizontal="right" vertical="center" wrapText="1"/>
    </xf>
    <xf numFmtId="0" fontId="2" fillId="36" borderId="39" xfId="54" applyFont="1" applyFill="1" applyBorder="1" applyAlignment="1">
      <alignment horizontal="right" vertical="center" wrapText="1"/>
    </xf>
    <xf numFmtId="0" fontId="2" fillId="34" borderId="11" xfId="54" applyFont="1" applyFill="1" applyBorder="1" applyAlignment="1">
      <alignment horizontal="right" vertical="center" wrapText="1"/>
    </xf>
    <xf numFmtId="3" fontId="2" fillId="36" borderId="37" xfId="54" applyNumberFormat="1" applyFont="1" applyFill="1" applyBorder="1" applyAlignment="1">
      <alignment horizontal="right" vertical="center" wrapText="1"/>
    </xf>
    <xf numFmtId="0" fontId="2" fillId="36" borderId="37" xfId="54" applyFont="1" applyFill="1" applyBorder="1" applyAlignment="1">
      <alignment horizontal="right" vertical="center" wrapText="1"/>
    </xf>
    <xf numFmtId="2" fontId="2" fillId="36" borderId="37" xfId="54" applyNumberFormat="1" applyFont="1" applyFill="1" applyBorder="1" applyAlignment="1">
      <alignment horizontal="right" vertical="center" wrapText="1"/>
    </xf>
    <xf numFmtId="0" fontId="2" fillId="36" borderId="40" xfId="54" applyFont="1" applyFill="1" applyBorder="1" applyAlignment="1">
      <alignment vertical="center" wrapText="1"/>
    </xf>
    <xf numFmtId="0" fontId="2" fillId="36" borderId="40" xfId="54" applyFont="1" applyFill="1" applyBorder="1" applyAlignment="1">
      <alignment horizontal="right" vertical="center" wrapText="1"/>
    </xf>
    <xf numFmtId="0" fontId="2" fillId="36" borderId="22" xfId="54" applyFont="1" applyFill="1" applyBorder="1" applyAlignment="1">
      <alignment vertical="center" wrapText="1"/>
    </xf>
    <xf numFmtId="3" fontId="2" fillId="36" borderId="11" xfId="0" applyNumberFormat="1" applyFont="1" applyFill="1" applyBorder="1" applyAlignment="1">
      <alignment horizontal="right" vertical="center"/>
    </xf>
    <xf numFmtId="0" fontId="2" fillId="35" borderId="21" xfId="54" applyFont="1" applyFill="1" applyBorder="1" applyAlignment="1">
      <alignment horizontal="right" vertical="center" wrapText="1"/>
    </xf>
    <xf numFmtId="0" fontId="2" fillId="35" borderId="40" xfId="54" applyFont="1" applyFill="1" applyBorder="1" applyAlignment="1">
      <alignment horizontal="right" vertical="center" wrapText="1"/>
    </xf>
    <xf numFmtId="0" fontId="2" fillId="36" borderId="41" xfId="54" applyFont="1" applyFill="1" applyBorder="1" applyAlignment="1">
      <alignment vertical="center" wrapText="1"/>
    </xf>
    <xf numFmtId="0" fontId="2" fillId="36" borderId="23" xfId="54" applyFont="1" applyFill="1" applyBorder="1" applyAlignment="1">
      <alignment horizontal="right" vertical="center" wrapText="1"/>
    </xf>
    <xf numFmtId="0" fontId="2" fillId="35" borderId="14" xfId="54" applyFont="1" applyFill="1" applyBorder="1" applyAlignment="1">
      <alignment horizontal="right" vertical="center" wrapText="1"/>
    </xf>
    <xf numFmtId="0" fontId="2" fillId="35" borderId="23" xfId="54" applyFont="1" applyFill="1" applyBorder="1" applyAlignment="1">
      <alignment horizontal="right" vertical="center" wrapText="1"/>
    </xf>
    <xf numFmtId="0" fontId="2" fillId="36" borderId="22" xfId="54" applyFont="1" applyFill="1" applyBorder="1" applyAlignment="1">
      <alignment horizontal="right" vertical="center" wrapText="1"/>
    </xf>
    <xf numFmtId="0" fontId="2" fillId="35" borderId="25" xfId="54" applyFont="1" applyFill="1" applyBorder="1" applyAlignment="1">
      <alignment horizontal="right" vertical="center" wrapText="1"/>
    </xf>
    <xf numFmtId="0" fontId="2" fillId="35" borderId="22" xfId="54" applyFont="1" applyFill="1" applyBorder="1" applyAlignment="1">
      <alignment horizontal="right" vertical="center" wrapText="1"/>
    </xf>
    <xf numFmtId="0" fontId="2" fillId="36" borderId="41" xfId="54" applyFont="1" applyFill="1" applyBorder="1" applyAlignment="1">
      <alignment horizontal="right" vertical="center" wrapText="1"/>
    </xf>
    <xf numFmtId="0" fontId="2" fillId="35" borderId="42" xfId="54" applyFont="1" applyFill="1" applyBorder="1" applyAlignment="1">
      <alignment horizontal="right" vertical="center" wrapText="1"/>
    </xf>
    <xf numFmtId="0" fontId="2" fillId="35" borderId="41" xfId="54" applyFont="1" applyFill="1" applyBorder="1" applyAlignment="1">
      <alignment horizontal="right" vertical="center" wrapText="1"/>
    </xf>
    <xf numFmtId="0" fontId="2" fillId="36" borderId="23" xfId="54" applyFont="1" applyFill="1" applyBorder="1" applyAlignment="1">
      <alignment vertical="center" wrapText="1"/>
    </xf>
    <xf numFmtId="0" fontId="2" fillId="36" borderId="11" xfId="54" applyFont="1" applyFill="1" applyBorder="1" applyAlignment="1">
      <alignment vertical="center" wrapText="1"/>
    </xf>
    <xf numFmtId="0" fontId="2" fillId="35" borderId="11" xfId="54" applyFont="1" applyFill="1" applyBorder="1" applyAlignment="1">
      <alignment horizontal="right" vertical="center" wrapText="1"/>
    </xf>
    <xf numFmtId="0" fontId="2" fillId="34" borderId="11" xfId="54" applyFont="1" applyFill="1" applyBorder="1" applyAlignment="1">
      <alignment vertical="center" wrapText="1"/>
    </xf>
    <xf numFmtId="0" fontId="3" fillId="34" borderId="11" xfId="54" applyFont="1" applyFill="1" applyBorder="1" applyAlignment="1">
      <alignment horizontal="right" vertical="center" wrapText="1"/>
    </xf>
    <xf numFmtId="0" fontId="2" fillId="36" borderId="43" xfId="54" applyFont="1" applyFill="1" applyBorder="1" applyAlignment="1">
      <alignment vertical="center" wrapText="1"/>
    </xf>
    <xf numFmtId="0" fontId="2" fillId="36" borderId="34" xfId="54" applyFont="1" applyFill="1" applyBorder="1" applyAlignment="1">
      <alignment horizontal="right" vertical="center" wrapText="1"/>
    </xf>
    <xf numFmtId="3" fontId="2" fillId="36" borderId="44" xfId="54" applyNumberFormat="1" applyFont="1" applyFill="1" applyBorder="1" applyAlignment="1">
      <alignment horizontal="right" vertical="center" wrapText="1"/>
    </xf>
    <xf numFmtId="0" fontId="3" fillId="36" borderId="11" xfId="54" applyFont="1" applyFill="1" applyBorder="1" applyAlignment="1">
      <alignment horizontal="right" vertical="center" wrapText="1"/>
    </xf>
    <xf numFmtId="3" fontId="2" fillId="36" borderId="25" xfId="54" applyNumberFormat="1" applyFont="1" applyFill="1" applyBorder="1" applyAlignment="1">
      <alignment horizontal="right" vertical="center" wrapText="1"/>
    </xf>
    <xf numFmtId="0" fontId="2" fillId="36" borderId="34" xfId="54" applyFont="1" applyFill="1" applyBorder="1" applyAlignment="1">
      <alignment vertical="center" wrapText="1"/>
    </xf>
    <xf numFmtId="0" fontId="43" fillId="36" borderId="11" xfId="54" applyFont="1" applyFill="1" applyBorder="1" applyAlignment="1">
      <alignment horizontal="right" vertical="center" wrapText="1"/>
    </xf>
    <xf numFmtId="0" fontId="43" fillId="36" borderId="34" xfId="54" applyFont="1" applyFill="1" applyBorder="1" applyAlignment="1">
      <alignment horizontal="right" vertical="center" wrapText="1"/>
    </xf>
    <xf numFmtId="3" fontId="44" fillId="34" borderId="11" xfId="54" applyNumberFormat="1" applyFont="1" applyFill="1" applyBorder="1" applyAlignment="1">
      <alignment horizontal="right" vertical="center" wrapText="1"/>
    </xf>
    <xf numFmtId="0" fontId="2" fillId="34" borderId="37" xfId="54" applyFont="1" applyFill="1" applyBorder="1" applyAlignment="1">
      <alignment horizontal="right" vertical="center" wrapText="1"/>
    </xf>
    <xf numFmtId="3" fontId="2" fillId="35" borderId="11" xfId="54" applyNumberFormat="1" applyFont="1" applyFill="1" applyBorder="1" applyAlignment="1">
      <alignment horizontal="right" vertical="center" wrapText="1"/>
    </xf>
    <xf numFmtId="4" fontId="2" fillId="35" borderId="11" xfId="54" applyNumberFormat="1" applyFont="1" applyFill="1" applyBorder="1" applyAlignment="1">
      <alignment horizontal="right" vertical="center" wrapText="1"/>
    </xf>
    <xf numFmtId="2" fontId="2" fillId="36" borderId="11" xfId="54" applyNumberFormat="1" applyFont="1" applyFill="1" applyBorder="1" applyAlignment="1">
      <alignment horizontal="right" vertical="center" wrapText="1"/>
    </xf>
    <xf numFmtId="3" fontId="3" fillId="35" borderId="11" xfId="54" applyNumberFormat="1" applyFont="1" applyFill="1" applyBorder="1" applyAlignment="1">
      <alignment horizontal="right" vertical="center" wrapText="1"/>
    </xf>
    <xf numFmtId="3" fontId="2" fillId="34" borderId="34" xfId="54" applyNumberFormat="1" applyFont="1" applyFill="1" applyBorder="1" applyAlignment="1">
      <alignment horizontal="right" vertical="center" wrapText="1"/>
    </xf>
    <xf numFmtId="0" fontId="2" fillId="36" borderId="34" xfId="0" applyFont="1" applyFill="1" applyBorder="1" applyAlignment="1">
      <alignment horizontal="right" vertical="center"/>
    </xf>
    <xf numFmtId="9" fontId="2" fillId="36" borderId="34" xfId="54" applyNumberFormat="1" applyFont="1" applyFill="1" applyBorder="1" applyAlignment="1">
      <alignment horizontal="right" vertical="center" wrapText="1"/>
    </xf>
    <xf numFmtId="3" fontId="2" fillId="35" borderId="34" xfId="54" applyNumberFormat="1" applyFont="1" applyFill="1" applyBorder="1" applyAlignment="1">
      <alignment horizontal="right" vertical="center" wrapText="1"/>
    </xf>
    <xf numFmtId="2" fontId="2" fillId="35" borderId="34" xfId="54" applyNumberFormat="1" applyFont="1" applyFill="1" applyBorder="1" applyAlignment="1">
      <alignment horizontal="right" vertical="center" wrapText="1"/>
    </xf>
    <xf numFmtId="0" fontId="2" fillId="36" borderId="43" xfId="54" applyFont="1" applyFill="1" applyBorder="1" applyAlignment="1">
      <alignment horizontal="right" vertical="center" wrapText="1"/>
    </xf>
    <xf numFmtId="0" fontId="2" fillId="36" borderId="11" xfId="0" applyFont="1" applyFill="1" applyBorder="1" applyAlignment="1">
      <alignment horizontal="right" vertical="center"/>
    </xf>
    <xf numFmtId="3" fontId="4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2" fillId="36" borderId="0" xfId="54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0" fontId="2" fillId="0" borderId="11" xfId="54" applyFont="1" applyBorder="1" applyAlignment="1">
      <alignment vertical="center" wrapText="1"/>
    </xf>
    <xf numFmtId="0" fontId="2" fillId="33" borderId="11" xfId="54" applyFont="1" applyFill="1" applyBorder="1" applyAlignment="1">
      <alignment vertical="center" wrapText="1"/>
    </xf>
    <xf numFmtId="0" fontId="2" fillId="33" borderId="37" xfId="54" applyFont="1" applyFill="1" applyBorder="1" applyAlignment="1">
      <alignment vertical="center" wrapText="1"/>
    </xf>
    <xf numFmtId="0" fontId="2" fillId="37" borderId="11" xfId="54" applyFont="1" applyFill="1" applyBorder="1" applyAlignment="1">
      <alignment vertical="center" wrapText="1"/>
    </xf>
    <xf numFmtId="0" fontId="2" fillId="33" borderId="23" xfId="54" applyFont="1" applyFill="1" applyBorder="1" applyAlignment="1">
      <alignment vertical="center" wrapText="1"/>
    </xf>
    <xf numFmtId="0" fontId="2" fillId="33" borderId="41" xfId="54" applyFont="1" applyFill="1" applyBorder="1" applyAlignment="1">
      <alignment vertical="center" wrapText="1"/>
    </xf>
    <xf numFmtId="0" fontId="2" fillId="37" borderId="37" xfId="54" applyFont="1" applyFill="1" applyBorder="1" applyAlignment="1">
      <alignment vertical="center" wrapText="1"/>
    </xf>
    <xf numFmtId="0" fontId="2" fillId="0" borderId="45" xfId="54" applyFont="1" applyBorder="1" applyAlignment="1">
      <alignment vertical="center" wrapText="1"/>
    </xf>
    <xf numFmtId="0" fontId="2" fillId="0" borderId="22" xfId="54" applyFont="1" applyBorder="1" applyAlignment="1">
      <alignment vertical="center" wrapText="1"/>
    </xf>
    <xf numFmtId="0" fontId="2" fillId="0" borderId="37" xfId="54" applyFont="1" applyBorder="1" applyAlignment="1">
      <alignment vertical="center" wrapText="1"/>
    </xf>
    <xf numFmtId="0" fontId="2" fillId="37" borderId="34" xfId="54" applyFont="1" applyFill="1" applyBorder="1" applyAlignment="1">
      <alignment vertical="center" wrapText="1"/>
    </xf>
    <xf numFmtId="0" fontId="2" fillId="33" borderId="34" xfId="54" applyFont="1" applyFill="1" applyBorder="1" applyAlignment="1">
      <alignment vertical="center" wrapText="1"/>
    </xf>
    <xf numFmtId="0" fontId="2" fillId="0" borderId="43" xfId="54" applyFont="1" applyBorder="1" applyAlignment="1">
      <alignment vertical="center" wrapText="1"/>
    </xf>
    <xf numFmtId="0" fontId="2" fillId="0" borderId="34" xfId="54" applyFont="1" applyBorder="1" applyAlignment="1">
      <alignment vertical="center" wrapText="1"/>
    </xf>
    <xf numFmtId="0" fontId="2" fillId="0" borderId="46" xfId="54" applyFont="1" applyBorder="1" applyAlignment="1">
      <alignment vertical="center" wrapText="1"/>
    </xf>
    <xf numFmtId="0" fontId="2" fillId="0" borderId="11" xfId="54" applyFont="1" applyBorder="1" applyAlignment="1">
      <alignment vertical="center" textRotation="90" wrapText="1"/>
    </xf>
    <xf numFmtId="0" fontId="2" fillId="0" borderId="47" xfId="54" applyFont="1" applyBorder="1" applyAlignment="1">
      <alignment vertical="center" wrapText="1"/>
    </xf>
    <xf numFmtId="0" fontId="2" fillId="0" borderId="48" xfId="54" applyFont="1" applyBorder="1" applyAlignment="1">
      <alignment vertical="center" textRotation="90" wrapText="1"/>
    </xf>
    <xf numFmtId="0" fontId="2" fillId="0" borderId="37" xfId="54" applyFont="1" applyBorder="1" applyAlignment="1">
      <alignment vertical="center" textRotation="90" wrapText="1"/>
    </xf>
    <xf numFmtId="0" fontId="2" fillId="33" borderId="34" xfId="54" applyFont="1" applyFill="1" applyBorder="1" applyAlignment="1">
      <alignment horizontal="left" vertical="center" wrapText="1"/>
    </xf>
    <xf numFmtId="0" fontId="2" fillId="33" borderId="46" xfId="54" applyFont="1" applyFill="1" applyBorder="1" applyAlignment="1">
      <alignment horizontal="left" vertical="center" wrapText="1"/>
    </xf>
    <xf numFmtId="0" fontId="2" fillId="38" borderId="11" xfId="54" applyFont="1" applyFill="1" applyBorder="1" applyAlignment="1">
      <alignment vertical="center" wrapText="1"/>
    </xf>
    <xf numFmtId="0" fontId="2" fillId="36" borderId="11" xfId="54" applyFont="1" applyFill="1" applyBorder="1" applyAlignment="1">
      <alignment vertical="center" wrapText="1"/>
    </xf>
    <xf numFmtId="0" fontId="0" fillId="36" borderId="0" xfId="0" applyFill="1" applyAlignment="1">
      <alignment/>
    </xf>
    <xf numFmtId="3" fontId="0" fillId="36" borderId="0" xfId="0" applyNumberFormat="1" applyFill="1" applyAlignment="1">
      <alignment/>
    </xf>
    <xf numFmtId="0" fontId="36" fillId="36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ASZ~1\AppData\Local\Temp\notesBAAA25\Kopia%20Plan%20finansowy%20SZOOP%20POIR_12.01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finansowy"/>
      <sheetName val="Tabela zobowiązań do SFC"/>
      <sheetName val="Tabela zobowiązań - prosta"/>
      <sheetName val="Arkusz2"/>
      <sheetName val="Kody kategorii interwencji"/>
      <sheetName val="matryca logiczna"/>
      <sheetName val="Plan finan. SzOOP"/>
      <sheetName val="przesunięcia EUR NCBR"/>
      <sheetName val="krajowe NCBR"/>
      <sheetName val="szybka scieżka 1.1.1"/>
      <sheetName val="demonstrator 1.1.2"/>
      <sheetName val="sektorowe 1.2"/>
    </sheetNames>
    <sheetDataSet>
      <sheetData sheetId="7">
        <row r="3">
          <cell r="E3">
            <v>26411159.240573112</v>
          </cell>
        </row>
        <row r="4">
          <cell r="E4">
            <v>-43765822.86005604</v>
          </cell>
          <cell r="F4">
            <v>-288340147.3080829</v>
          </cell>
        </row>
        <row r="5">
          <cell r="E5">
            <v>15878683.997524165</v>
          </cell>
          <cell r="F5">
            <v>132362429.83914986</v>
          </cell>
        </row>
        <row r="6">
          <cell r="E6">
            <v>1475979.621958768</v>
          </cell>
          <cell r="F6">
            <v>155977717.46893302</v>
          </cell>
        </row>
        <row r="7">
          <cell r="F7">
            <v>0</v>
          </cell>
        </row>
        <row r="8">
          <cell r="E8">
            <v>-1552159.215350188</v>
          </cell>
        </row>
        <row r="9">
          <cell r="E9">
            <v>1552159.215350188</v>
          </cell>
        </row>
      </sheetData>
      <sheetData sheetId="8">
        <row r="12">
          <cell r="Y12">
            <v>114299475.01129556</v>
          </cell>
        </row>
        <row r="13">
          <cell r="Y13">
            <v>170121992.132725</v>
          </cell>
        </row>
        <row r="14">
          <cell r="Y14">
            <v>13002212.45148388</v>
          </cell>
        </row>
        <row r="15">
          <cell r="Y15">
            <v>505586209.6719097</v>
          </cell>
        </row>
        <row r="16">
          <cell r="Y16">
            <v>54381248.96809083</v>
          </cell>
        </row>
        <row r="19">
          <cell r="Y19">
            <v>210118752.27662957</v>
          </cell>
        </row>
        <row r="20">
          <cell r="Y20">
            <v>9989316.499841027</v>
          </cell>
        </row>
        <row r="21">
          <cell r="Y21">
            <v>210937500</v>
          </cell>
        </row>
        <row r="86">
          <cell r="Y86">
            <v>4949336.153797781</v>
          </cell>
        </row>
        <row r="88">
          <cell r="Y88">
            <v>2797630.139663255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W113"/>
  <sheetViews>
    <sheetView tabSelected="1" zoomScalePageLayoutView="0" workbookViewId="0" topLeftCell="A1">
      <selection activeCell="Q89" sqref="Q89"/>
    </sheetView>
  </sheetViews>
  <sheetFormatPr defaultColWidth="9.140625" defaultRowHeight="15"/>
  <cols>
    <col min="4" max="4" width="12.28125" style="0" bestFit="1" customWidth="1"/>
    <col min="5" max="5" width="9.28125" style="0" bestFit="1" customWidth="1"/>
    <col min="6" max="6" width="12.28125" style="0" bestFit="1" customWidth="1"/>
    <col min="7" max="7" width="9.28125" style="0" bestFit="1" customWidth="1"/>
    <col min="8" max="8" width="12.28125" style="0" bestFit="1" customWidth="1"/>
    <col min="9" max="10" width="9.8515625" style="0" bestFit="1" customWidth="1"/>
    <col min="11" max="13" width="9.28125" style="0" bestFit="1" customWidth="1"/>
    <col min="14" max="14" width="12.28125" style="0" bestFit="1" customWidth="1"/>
    <col min="15" max="15" width="13.421875" style="0" bestFit="1" customWidth="1"/>
    <col min="16" max="16" width="9.28125" style="0" bestFit="1" customWidth="1"/>
    <col min="17" max="17" width="15.421875" style="0" customWidth="1"/>
    <col min="18" max="18" width="15.00390625" style="0" customWidth="1"/>
    <col min="19" max="19" width="14.28125" style="0" customWidth="1"/>
    <col min="20" max="20" width="9.28125" style="0" bestFit="1" customWidth="1"/>
    <col min="22" max="22" width="19.28125" style="0" customWidth="1"/>
    <col min="23" max="23" width="16.421875" style="0" customWidth="1"/>
  </cols>
  <sheetData>
    <row r="1" spans="1:20" ht="15">
      <c r="A1" s="6" t="s">
        <v>0</v>
      </c>
      <c r="B1" s="7"/>
      <c r="C1" s="8"/>
      <c r="D1" s="8"/>
      <c r="E1" s="8"/>
      <c r="F1" s="103"/>
      <c r="G1" s="8"/>
      <c r="H1" s="8"/>
      <c r="I1" s="8"/>
      <c r="J1" s="8"/>
      <c r="K1" s="8"/>
      <c r="L1" s="8"/>
      <c r="M1" s="8"/>
      <c r="N1" s="8"/>
      <c r="O1" s="8"/>
      <c r="P1" s="8"/>
      <c r="Q1" s="28"/>
      <c r="R1" s="8"/>
      <c r="S1" s="8"/>
      <c r="T1" s="8"/>
    </row>
    <row r="2" spans="1:20" ht="15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8"/>
      <c r="R2" s="8"/>
      <c r="S2" s="8"/>
      <c r="T2" s="8"/>
    </row>
    <row r="3" spans="1:20" ht="24">
      <c r="A3" s="115"/>
      <c r="B3" s="123" t="s">
        <v>2</v>
      </c>
      <c r="C3" s="123" t="s">
        <v>3</v>
      </c>
      <c r="D3" s="117" t="s">
        <v>4</v>
      </c>
      <c r="E3" s="117"/>
      <c r="F3" s="117"/>
      <c r="G3" s="117"/>
      <c r="H3" s="9" t="s">
        <v>5</v>
      </c>
      <c r="I3" s="124" t="s">
        <v>6</v>
      </c>
      <c r="J3" s="124"/>
      <c r="K3" s="124"/>
      <c r="L3" s="124"/>
      <c r="M3" s="124"/>
      <c r="N3" s="125" t="s">
        <v>7</v>
      </c>
      <c r="O3" s="126" t="s">
        <v>8</v>
      </c>
      <c r="P3" s="126" t="s">
        <v>9</v>
      </c>
      <c r="Q3" s="10" t="s">
        <v>10</v>
      </c>
      <c r="R3" s="11" t="s">
        <v>11</v>
      </c>
      <c r="S3" s="117" t="s">
        <v>12</v>
      </c>
      <c r="T3" s="126" t="s">
        <v>13</v>
      </c>
    </row>
    <row r="4" spans="1:20" ht="69">
      <c r="A4" s="115"/>
      <c r="B4" s="123"/>
      <c r="C4" s="123"/>
      <c r="D4" s="12" t="s">
        <v>14</v>
      </c>
      <c r="E4" s="13" t="s">
        <v>15</v>
      </c>
      <c r="F4" s="13" t="s">
        <v>16</v>
      </c>
      <c r="G4" s="14" t="s">
        <v>17</v>
      </c>
      <c r="H4" s="15" t="s">
        <v>14</v>
      </c>
      <c r="I4" s="16" t="s">
        <v>14</v>
      </c>
      <c r="J4" s="13" t="s">
        <v>18</v>
      </c>
      <c r="K4" s="13" t="s">
        <v>19</v>
      </c>
      <c r="L4" s="17" t="s">
        <v>20</v>
      </c>
      <c r="M4" s="18" t="s">
        <v>21</v>
      </c>
      <c r="N4" s="125"/>
      <c r="O4" s="126"/>
      <c r="P4" s="126"/>
      <c r="Q4" s="19" t="s">
        <v>22</v>
      </c>
      <c r="R4" s="12" t="s">
        <v>23</v>
      </c>
      <c r="S4" s="117"/>
      <c r="T4" s="126"/>
    </row>
    <row r="5" spans="1:20" ht="15">
      <c r="A5" s="1"/>
      <c r="B5" s="123"/>
      <c r="C5" s="123"/>
      <c r="D5" s="29" t="s">
        <v>24</v>
      </c>
      <c r="E5" s="30" t="s">
        <v>25</v>
      </c>
      <c r="F5" s="30" t="s">
        <v>26</v>
      </c>
      <c r="G5" s="31" t="s">
        <v>27</v>
      </c>
      <c r="H5" s="32" t="s">
        <v>28</v>
      </c>
      <c r="I5" s="33" t="s">
        <v>29</v>
      </c>
      <c r="J5" s="30" t="s">
        <v>30</v>
      </c>
      <c r="K5" s="30" t="s">
        <v>31</v>
      </c>
      <c r="L5" s="34" t="s">
        <v>32</v>
      </c>
      <c r="M5" s="35" t="s">
        <v>33</v>
      </c>
      <c r="N5" s="36" t="s">
        <v>34</v>
      </c>
      <c r="O5" s="23" t="s">
        <v>35</v>
      </c>
      <c r="P5" s="23" t="s">
        <v>36</v>
      </c>
      <c r="Q5" s="37" t="s">
        <v>37</v>
      </c>
      <c r="R5" s="29" t="s">
        <v>38</v>
      </c>
      <c r="S5" s="23" t="s">
        <v>39</v>
      </c>
      <c r="T5" s="23" t="s">
        <v>40</v>
      </c>
    </row>
    <row r="6" spans="1:20" ht="15">
      <c r="A6" s="1"/>
      <c r="B6" s="123"/>
      <c r="C6" s="123"/>
      <c r="D6" s="38" t="s">
        <v>41</v>
      </c>
      <c r="E6" s="39"/>
      <c r="F6" s="39"/>
      <c r="G6" s="40"/>
      <c r="H6" s="41" t="s">
        <v>42</v>
      </c>
      <c r="I6" s="42" t="s">
        <v>43</v>
      </c>
      <c r="J6" s="39"/>
      <c r="K6" s="39"/>
      <c r="L6" s="43"/>
      <c r="M6" s="44"/>
      <c r="N6" s="45"/>
      <c r="O6" s="22" t="s">
        <v>44</v>
      </c>
      <c r="P6" s="22"/>
      <c r="Q6" s="46" t="s">
        <v>45</v>
      </c>
      <c r="R6" s="38"/>
      <c r="S6" s="22" t="s">
        <v>46</v>
      </c>
      <c r="T6" s="22"/>
    </row>
    <row r="7" spans="1:20" ht="24">
      <c r="A7" s="114" t="s">
        <v>47</v>
      </c>
      <c r="B7" s="108" t="s">
        <v>48</v>
      </c>
      <c r="C7" s="54" t="s">
        <v>49</v>
      </c>
      <c r="D7" s="20">
        <f>SUM(D9,D15,D17)</f>
        <v>3479741046</v>
      </c>
      <c r="E7" s="55">
        <v>0</v>
      </c>
      <c r="F7" s="20">
        <f>SUM(F9,F15,F17)</f>
        <v>3479741045.75698</v>
      </c>
      <c r="G7" s="56">
        <v>0</v>
      </c>
      <c r="H7" s="26">
        <f>SUM(I7+N7)</f>
        <v>2039134429.110353</v>
      </c>
      <c r="I7" s="27">
        <f aca="true" t="shared" si="0" ref="I7:I22">J7+K7+L7+M7</f>
        <v>0</v>
      </c>
      <c r="J7" s="57">
        <v>0</v>
      </c>
      <c r="K7" s="57">
        <v>0</v>
      </c>
      <c r="L7" s="57">
        <v>0</v>
      </c>
      <c r="M7" s="57">
        <v>0</v>
      </c>
      <c r="N7" s="26">
        <f>SUM(N9+N15+N17)</f>
        <v>2039134429.110353</v>
      </c>
      <c r="O7" s="58">
        <f aca="true" t="shared" si="1" ref="O7:O22">D7+H7</f>
        <v>5518875475.110353</v>
      </c>
      <c r="P7" s="59"/>
      <c r="Q7" s="20">
        <f>D7-R7</f>
        <v>3295370500</v>
      </c>
      <c r="R7" s="20">
        <v>184370546</v>
      </c>
      <c r="S7" s="60">
        <f>(R7/D7)*100</f>
        <v>5.298398460193925</v>
      </c>
      <c r="T7" s="59">
        <v>0</v>
      </c>
    </row>
    <row r="8" spans="1:20" ht="24">
      <c r="A8" s="114"/>
      <c r="B8" s="108"/>
      <c r="C8" s="61" t="s">
        <v>50</v>
      </c>
      <c r="D8" s="20">
        <f>SUM(D10,D16,D18)</f>
        <v>370190132.00000006</v>
      </c>
      <c r="E8" s="47">
        <v>0</v>
      </c>
      <c r="F8" s="20">
        <f>SUM(F10,F16,F18)</f>
        <v>370190132.00000006</v>
      </c>
      <c r="G8" s="56">
        <v>0</v>
      </c>
      <c r="H8" s="26">
        <f aca="true" t="shared" si="2" ref="H8:H71">SUM(I8+N8)</f>
        <v>205734752.9307113</v>
      </c>
      <c r="I8" s="27">
        <f t="shared" si="0"/>
        <v>0</v>
      </c>
      <c r="J8" s="57">
        <v>0</v>
      </c>
      <c r="K8" s="57">
        <v>0</v>
      </c>
      <c r="L8" s="57">
        <v>0</v>
      </c>
      <c r="M8" s="57">
        <v>0</v>
      </c>
      <c r="N8" s="26">
        <f>SUM(N10+N16+N18)</f>
        <v>205734752.9307113</v>
      </c>
      <c r="O8" s="58">
        <f t="shared" si="1"/>
        <v>575924884.9307114</v>
      </c>
      <c r="P8" s="62"/>
      <c r="Q8" s="21">
        <f>D8-R8</f>
        <v>350415185.00000006</v>
      </c>
      <c r="R8" s="21">
        <v>19774947</v>
      </c>
      <c r="S8" s="60">
        <f>(R8/D8)*100</f>
        <v>5.341835259941504</v>
      </c>
      <c r="T8" s="62">
        <v>0</v>
      </c>
    </row>
    <row r="9" spans="1:20" ht="24">
      <c r="A9" s="112" t="s">
        <v>51</v>
      </c>
      <c r="B9" s="108" t="s">
        <v>48</v>
      </c>
      <c r="C9" s="63" t="s">
        <v>49</v>
      </c>
      <c r="D9" s="64">
        <f>D11+D13</f>
        <v>1858957448.6919172</v>
      </c>
      <c r="E9" s="55">
        <v>0</v>
      </c>
      <c r="F9" s="64">
        <f>F11+F13</f>
        <v>1858957448.4488971</v>
      </c>
      <c r="G9" s="56">
        <v>0</v>
      </c>
      <c r="H9" s="26">
        <f t="shared" si="2"/>
        <v>1112491967.161814</v>
      </c>
      <c r="I9" s="27">
        <f t="shared" si="0"/>
        <v>0</v>
      </c>
      <c r="J9" s="57">
        <v>0</v>
      </c>
      <c r="K9" s="57">
        <v>0</v>
      </c>
      <c r="L9" s="57">
        <v>0</v>
      </c>
      <c r="M9" s="57">
        <v>0</v>
      </c>
      <c r="N9" s="26">
        <f>SUM(N11+N13)</f>
        <v>1112491967.161814</v>
      </c>
      <c r="O9" s="58">
        <f t="shared" si="1"/>
        <v>2971449415.853731</v>
      </c>
      <c r="P9" s="62"/>
      <c r="Q9" s="21">
        <f>(D9-((D9*S7))/100)</f>
        <v>1760462475.8547645</v>
      </c>
      <c r="R9" s="65"/>
      <c r="S9" s="66"/>
      <c r="T9" s="62">
        <v>0</v>
      </c>
    </row>
    <row r="10" spans="1:20" ht="24">
      <c r="A10" s="112"/>
      <c r="B10" s="108"/>
      <c r="C10" s="67" t="s">
        <v>50</v>
      </c>
      <c r="D10" s="26">
        <f>D12+D14</f>
        <v>228616398.38051707</v>
      </c>
      <c r="E10" s="47">
        <v>0</v>
      </c>
      <c r="F10" s="26">
        <f>F12+F14</f>
        <v>228616398.38051707</v>
      </c>
      <c r="G10" s="56">
        <v>0</v>
      </c>
      <c r="H10" s="26">
        <f>SUM(I10+N10)</f>
        <v>127301687.46277943</v>
      </c>
      <c r="I10" s="27">
        <f t="shared" si="0"/>
        <v>0</v>
      </c>
      <c r="J10" s="57">
        <v>0</v>
      </c>
      <c r="K10" s="57">
        <v>0</v>
      </c>
      <c r="L10" s="57">
        <v>0</v>
      </c>
      <c r="M10" s="57">
        <v>0</v>
      </c>
      <c r="N10" s="26">
        <f>SUM(N12+N14)</f>
        <v>127301687.46277943</v>
      </c>
      <c r="O10" s="58">
        <f t="shared" si="1"/>
        <v>355918085.8432965</v>
      </c>
      <c r="P10" s="68"/>
      <c r="Q10" s="21">
        <f>(D10-((D10*S8))/100)</f>
        <v>216404087.00181827</v>
      </c>
      <c r="R10" s="69"/>
      <c r="S10" s="70"/>
      <c r="T10" s="68">
        <v>0</v>
      </c>
    </row>
    <row r="11" spans="1:20" ht="24">
      <c r="A11" s="113" t="s">
        <v>52</v>
      </c>
      <c r="B11" s="108" t="s">
        <v>48</v>
      </c>
      <c r="C11" s="63" t="s">
        <v>49</v>
      </c>
      <c r="D11" s="24">
        <v>1690981066</v>
      </c>
      <c r="E11" s="55">
        <v>0</v>
      </c>
      <c r="F11" s="24">
        <v>1690981065.75698</v>
      </c>
      <c r="G11" s="56">
        <v>0</v>
      </c>
      <c r="H11" s="26">
        <f t="shared" si="2"/>
        <v>942369975.029089</v>
      </c>
      <c r="I11" s="27">
        <f t="shared" si="0"/>
        <v>0</v>
      </c>
      <c r="J11" s="57">
        <v>0</v>
      </c>
      <c r="K11" s="57">
        <v>0</v>
      </c>
      <c r="L11" s="57">
        <v>0</v>
      </c>
      <c r="M11" s="57">
        <v>0</v>
      </c>
      <c r="N11" s="26">
        <v>942369975.029089</v>
      </c>
      <c r="O11" s="58">
        <f t="shared" si="1"/>
        <v>2633351041.029089</v>
      </c>
      <c r="P11" s="71"/>
      <c r="Q11" s="21">
        <f>(D11-((D11*S7))/100)</f>
        <v>1601386151.236885</v>
      </c>
      <c r="R11" s="72"/>
      <c r="S11" s="73"/>
      <c r="T11" s="71">
        <v>0</v>
      </c>
    </row>
    <row r="12" spans="1:20" ht="24">
      <c r="A12" s="113"/>
      <c r="B12" s="108"/>
      <c r="C12" s="67" t="s">
        <v>50</v>
      </c>
      <c r="D12" s="24">
        <f>'[1]przesunięcia EUR NCBR'!E3+188977497</f>
        <v>215388656.2405731</v>
      </c>
      <c r="E12" s="55">
        <v>0</v>
      </c>
      <c r="F12" s="24">
        <f>D12</f>
        <v>215388656.2405731</v>
      </c>
      <c r="G12" s="56">
        <v>0</v>
      </c>
      <c r="H12" s="26">
        <f t="shared" si="2"/>
        <v>114299475.01129556</v>
      </c>
      <c r="I12" s="27">
        <f t="shared" si="0"/>
        <v>0</v>
      </c>
      <c r="J12" s="57">
        <v>0</v>
      </c>
      <c r="K12" s="57">
        <v>0</v>
      </c>
      <c r="L12" s="57">
        <v>0</v>
      </c>
      <c r="M12" s="57">
        <v>0</v>
      </c>
      <c r="N12" s="26">
        <f>'[1]krajowe NCBR'!Y12</f>
        <v>114299475.01129556</v>
      </c>
      <c r="O12" s="58">
        <f t="shared" si="1"/>
        <v>329688131.25186867</v>
      </c>
      <c r="P12" s="74"/>
      <c r="Q12" s="21">
        <f>(D12-((D12*S8))/100)</f>
        <v>203882949.0556</v>
      </c>
      <c r="R12" s="75"/>
      <c r="S12" s="76"/>
      <c r="T12" s="74">
        <v>0</v>
      </c>
    </row>
    <row r="13" spans="1:20" ht="24">
      <c r="A13" s="109" t="s">
        <v>53</v>
      </c>
      <c r="B13" s="108" t="s">
        <v>48</v>
      </c>
      <c r="C13" s="67" t="s">
        <v>49</v>
      </c>
      <c r="D13" s="26">
        <f>'[1]przesunięcia EUR NCBR'!F4+456316530</f>
        <v>167976382.69191712</v>
      </c>
      <c r="E13" s="55">
        <v>0</v>
      </c>
      <c r="F13" s="26">
        <f>D13</f>
        <v>167976382.69191712</v>
      </c>
      <c r="G13" s="56">
        <v>0</v>
      </c>
      <c r="H13" s="26">
        <f t="shared" si="2"/>
        <v>170121992.132725</v>
      </c>
      <c r="I13" s="27">
        <f t="shared" si="0"/>
        <v>0</v>
      </c>
      <c r="J13" s="57">
        <v>0</v>
      </c>
      <c r="K13" s="57">
        <v>0</v>
      </c>
      <c r="L13" s="57">
        <v>0</v>
      </c>
      <c r="M13" s="57">
        <v>0</v>
      </c>
      <c r="N13" s="26">
        <f>'[1]krajowe NCBR'!Y13</f>
        <v>170121992.132725</v>
      </c>
      <c r="O13" s="58">
        <f t="shared" si="1"/>
        <v>338098374.8246421</v>
      </c>
      <c r="P13" s="74"/>
      <c r="Q13" s="21">
        <f>(D13-((D13*S7))/100)</f>
        <v>159076324.61787912</v>
      </c>
      <c r="R13" s="75"/>
      <c r="S13" s="76"/>
      <c r="T13" s="74">
        <v>0</v>
      </c>
    </row>
    <row r="14" spans="1:20" ht="24">
      <c r="A14" s="109"/>
      <c r="B14" s="108"/>
      <c r="C14" s="67" t="s">
        <v>50</v>
      </c>
      <c r="D14" s="26">
        <f>'[1]przesunięcia EUR NCBR'!E4+56993565</f>
        <v>13227742.139943957</v>
      </c>
      <c r="E14" s="47">
        <v>0</v>
      </c>
      <c r="F14" s="26">
        <f>D14</f>
        <v>13227742.139943957</v>
      </c>
      <c r="G14" s="56">
        <v>0</v>
      </c>
      <c r="H14" s="26">
        <f t="shared" si="2"/>
        <v>13002212.45148388</v>
      </c>
      <c r="I14" s="27">
        <f t="shared" si="0"/>
        <v>0</v>
      </c>
      <c r="J14" s="57">
        <v>0</v>
      </c>
      <c r="K14" s="57">
        <v>0</v>
      </c>
      <c r="L14" s="57">
        <v>0</v>
      </c>
      <c r="M14" s="57">
        <v>0</v>
      </c>
      <c r="N14" s="26">
        <f>'[1]krajowe NCBR'!Y14</f>
        <v>13002212.45148388</v>
      </c>
      <c r="O14" s="58">
        <f t="shared" si="1"/>
        <v>26229954.591427837</v>
      </c>
      <c r="P14" s="74"/>
      <c r="Q14" s="21">
        <f>(D14-((D14*S8))/100)</f>
        <v>12521137.94621829</v>
      </c>
      <c r="R14" s="75"/>
      <c r="S14" s="76"/>
      <c r="T14" s="74">
        <v>0</v>
      </c>
    </row>
    <row r="15" spans="1:20" ht="24">
      <c r="A15" s="110" t="s">
        <v>54</v>
      </c>
      <c r="B15" s="108" t="s">
        <v>48</v>
      </c>
      <c r="C15" s="63" t="s">
        <v>49</v>
      </c>
      <c r="D15" s="26">
        <f>'[1]przesunięcia EUR NCBR'!F5+787120174</f>
        <v>919482603.8391498</v>
      </c>
      <c r="E15" s="55">
        <v>0</v>
      </c>
      <c r="F15" s="26">
        <f>D15</f>
        <v>919482603.8391498</v>
      </c>
      <c r="G15" s="56">
        <v>0</v>
      </c>
      <c r="H15" s="26">
        <f t="shared" si="2"/>
        <v>505586209.6719097</v>
      </c>
      <c r="I15" s="27">
        <f t="shared" si="0"/>
        <v>0</v>
      </c>
      <c r="J15" s="57">
        <v>0</v>
      </c>
      <c r="K15" s="57">
        <v>0</v>
      </c>
      <c r="L15" s="57">
        <v>0</v>
      </c>
      <c r="M15" s="57">
        <v>0</v>
      </c>
      <c r="N15" s="26">
        <f>'[1]krajowe NCBR'!Y15</f>
        <v>505586209.6719097</v>
      </c>
      <c r="O15" s="58">
        <f t="shared" si="1"/>
        <v>1425068813.5110595</v>
      </c>
      <c r="P15" s="71"/>
      <c r="Q15" s="21">
        <f>(D15-((D15*S7))/100)</f>
        <v>870764751.7155854</v>
      </c>
      <c r="R15" s="72"/>
      <c r="S15" s="73"/>
      <c r="T15" s="71">
        <v>0</v>
      </c>
    </row>
    <row r="16" spans="1:20" ht="24">
      <c r="A16" s="110"/>
      <c r="B16" s="108"/>
      <c r="C16" s="77" t="s">
        <v>50</v>
      </c>
      <c r="D16" s="26">
        <f>'[1]przesunięcia EUR NCBR'!E5+87864185</f>
        <v>103742868.99752417</v>
      </c>
      <c r="E16" s="47">
        <v>0</v>
      </c>
      <c r="F16" s="26">
        <f>D16</f>
        <v>103742868.99752417</v>
      </c>
      <c r="G16" s="56">
        <v>0</v>
      </c>
      <c r="H16" s="26">
        <f>SUM(I16+N16)</f>
        <v>54381248.96809083</v>
      </c>
      <c r="I16" s="27">
        <f t="shared" si="0"/>
        <v>0</v>
      </c>
      <c r="J16" s="57">
        <v>0</v>
      </c>
      <c r="K16" s="57">
        <v>0</v>
      </c>
      <c r="L16" s="57">
        <v>0</v>
      </c>
      <c r="M16" s="57">
        <v>0</v>
      </c>
      <c r="N16" s="26">
        <f>'[1]krajowe NCBR'!Y16</f>
        <v>54381248.96809083</v>
      </c>
      <c r="O16" s="58">
        <f t="shared" si="1"/>
        <v>158124117.965615</v>
      </c>
      <c r="P16" s="68"/>
      <c r="Q16" s="21">
        <f>(D16-((D16*S8))/100)</f>
        <v>98201095.8417395</v>
      </c>
      <c r="R16" s="69"/>
      <c r="S16" s="70"/>
      <c r="T16" s="68">
        <v>0</v>
      </c>
    </row>
    <row r="17" spans="1:20" ht="24">
      <c r="A17" s="109" t="s">
        <v>55</v>
      </c>
      <c r="B17" s="108" t="s">
        <v>48</v>
      </c>
      <c r="C17" s="78" t="s">
        <v>49</v>
      </c>
      <c r="D17" s="26">
        <f>D19+D21</f>
        <v>701300993.468933</v>
      </c>
      <c r="E17" s="55">
        <v>0</v>
      </c>
      <c r="F17" s="26">
        <f>F19+F21</f>
        <v>701300993.468933</v>
      </c>
      <c r="G17" s="56">
        <v>0</v>
      </c>
      <c r="H17" s="26">
        <f t="shared" si="2"/>
        <v>421056252.27662957</v>
      </c>
      <c r="I17" s="27">
        <f t="shared" si="0"/>
        <v>0</v>
      </c>
      <c r="J17" s="57">
        <v>0</v>
      </c>
      <c r="K17" s="57">
        <v>0</v>
      </c>
      <c r="L17" s="57">
        <v>0</v>
      </c>
      <c r="M17" s="57">
        <v>0</v>
      </c>
      <c r="N17" s="26">
        <f>N19+N21</f>
        <v>421056252.27662957</v>
      </c>
      <c r="O17" s="26">
        <f t="shared" si="1"/>
        <v>1122357245.7455626</v>
      </c>
      <c r="P17" s="27"/>
      <c r="Q17" s="21">
        <f>(D17-((D17*S7))/100)</f>
        <v>664143272.4296503</v>
      </c>
      <c r="R17" s="79"/>
      <c r="S17" s="79"/>
      <c r="T17" s="27">
        <v>0</v>
      </c>
    </row>
    <row r="18" spans="1:20" ht="24">
      <c r="A18" s="109"/>
      <c r="B18" s="108"/>
      <c r="C18" s="78" t="s">
        <v>50</v>
      </c>
      <c r="D18" s="26">
        <f>D20+D22</f>
        <v>37830864.62195877</v>
      </c>
      <c r="E18" s="47">
        <v>0</v>
      </c>
      <c r="F18" s="26">
        <f>F20+F22</f>
        <v>37830864.62195877</v>
      </c>
      <c r="G18" s="56">
        <v>0</v>
      </c>
      <c r="H18" s="26">
        <f t="shared" si="2"/>
        <v>24051816.499841027</v>
      </c>
      <c r="I18" s="27">
        <f t="shared" si="0"/>
        <v>0</v>
      </c>
      <c r="J18" s="57">
        <v>0</v>
      </c>
      <c r="K18" s="57">
        <v>0</v>
      </c>
      <c r="L18" s="57">
        <v>0</v>
      </c>
      <c r="M18" s="57">
        <v>0</v>
      </c>
      <c r="N18" s="26">
        <f>N20+N22</f>
        <v>24051816.499841027</v>
      </c>
      <c r="O18" s="26">
        <f t="shared" si="1"/>
        <v>61882681.1217998</v>
      </c>
      <c r="P18" s="27"/>
      <c r="Q18" s="21">
        <f>(D18-((D18*S8))/100)</f>
        <v>35810002.15644224</v>
      </c>
      <c r="R18" s="79"/>
      <c r="S18" s="79"/>
      <c r="T18" s="27">
        <v>0</v>
      </c>
    </row>
    <row r="19" spans="1:20" ht="36">
      <c r="A19" s="2" t="s">
        <v>56</v>
      </c>
      <c r="B19" s="3" t="s">
        <v>48</v>
      </c>
      <c r="C19" s="78" t="s">
        <v>49</v>
      </c>
      <c r="D19" s="26">
        <f>'[1]przesunięcia EUR NCBR'!F6+334385776</f>
        <v>490363493.468933</v>
      </c>
      <c r="E19" s="55">
        <v>0</v>
      </c>
      <c r="F19" s="26">
        <f>D19</f>
        <v>490363493.468933</v>
      </c>
      <c r="G19" s="56">
        <v>0</v>
      </c>
      <c r="H19" s="26">
        <f t="shared" si="2"/>
        <v>210118752.27662957</v>
      </c>
      <c r="I19" s="27">
        <f t="shared" si="0"/>
        <v>0</v>
      </c>
      <c r="J19" s="57">
        <v>0</v>
      </c>
      <c r="K19" s="57">
        <v>0</v>
      </c>
      <c r="L19" s="57">
        <v>0</v>
      </c>
      <c r="M19" s="57">
        <v>0</v>
      </c>
      <c r="N19" s="26">
        <f>'[1]krajowe NCBR'!Y19</f>
        <v>210118752.27662957</v>
      </c>
      <c r="O19" s="26">
        <f t="shared" si="1"/>
        <v>700482245.7455626</v>
      </c>
      <c r="P19" s="27"/>
      <c r="Q19" s="21">
        <f>(D19-((D19*S7))/100)</f>
        <v>464382081.6816219</v>
      </c>
      <c r="R19" s="79"/>
      <c r="S19" s="79"/>
      <c r="T19" s="68">
        <v>0</v>
      </c>
    </row>
    <row r="20" spans="1:20" ht="24">
      <c r="A20" s="2" t="s">
        <v>57</v>
      </c>
      <c r="B20" s="3" t="s">
        <v>48</v>
      </c>
      <c r="C20" s="78" t="s">
        <v>50</v>
      </c>
      <c r="D20" s="26">
        <f>'[1]przesunięcia EUR NCBR'!E6+22292385</f>
        <v>23768364.62195877</v>
      </c>
      <c r="E20" s="47">
        <v>0</v>
      </c>
      <c r="F20" s="26">
        <f>D20</f>
        <v>23768364.62195877</v>
      </c>
      <c r="G20" s="56">
        <v>0</v>
      </c>
      <c r="H20" s="49">
        <f t="shared" si="2"/>
        <v>9989316.499841027</v>
      </c>
      <c r="I20" s="27">
        <f t="shared" si="0"/>
        <v>0</v>
      </c>
      <c r="J20" s="57">
        <v>0</v>
      </c>
      <c r="K20" s="57">
        <v>0</v>
      </c>
      <c r="L20" s="57">
        <v>0</v>
      </c>
      <c r="M20" s="57">
        <v>0</v>
      </c>
      <c r="N20" s="26">
        <f>'[1]krajowe NCBR'!Y20</f>
        <v>9989316.499841027</v>
      </c>
      <c r="O20" s="26">
        <f t="shared" si="1"/>
        <v>33757681.1217998</v>
      </c>
      <c r="P20" s="27"/>
      <c r="Q20" s="21">
        <f>(D20-((D20*S8))/100)</f>
        <v>22498697.739871513</v>
      </c>
      <c r="R20" s="79"/>
      <c r="S20" s="79"/>
      <c r="T20" s="27">
        <v>0</v>
      </c>
    </row>
    <row r="21" spans="1:20" ht="36">
      <c r="A21" s="2" t="s">
        <v>58</v>
      </c>
      <c r="B21" s="3" t="s">
        <v>48</v>
      </c>
      <c r="C21" s="78" t="s">
        <v>49</v>
      </c>
      <c r="D21" s="26">
        <f>'[1]przesunięcia EUR NCBR'!F7+210937500</f>
        <v>210937500</v>
      </c>
      <c r="E21" s="55">
        <v>0</v>
      </c>
      <c r="F21" s="26">
        <f>D21</f>
        <v>210937500</v>
      </c>
      <c r="G21" s="56">
        <v>0</v>
      </c>
      <c r="H21" s="49">
        <f t="shared" si="2"/>
        <v>210937500</v>
      </c>
      <c r="I21" s="27">
        <f t="shared" si="0"/>
        <v>0</v>
      </c>
      <c r="J21" s="57">
        <v>0</v>
      </c>
      <c r="K21" s="57">
        <v>0</v>
      </c>
      <c r="L21" s="57">
        <v>0</v>
      </c>
      <c r="M21" s="57">
        <v>0</v>
      </c>
      <c r="N21" s="26">
        <f>'[1]krajowe NCBR'!Y21</f>
        <v>210937500</v>
      </c>
      <c r="O21" s="26">
        <f t="shared" si="1"/>
        <v>421875000</v>
      </c>
      <c r="P21" s="27"/>
      <c r="Q21" s="21">
        <f>(D21-((D21*S7))/100)</f>
        <v>199761190.74802843</v>
      </c>
      <c r="R21" s="79"/>
      <c r="S21" s="79"/>
      <c r="T21" s="27">
        <v>0</v>
      </c>
    </row>
    <row r="22" spans="1:20" ht="24">
      <c r="A22" s="2" t="s">
        <v>59</v>
      </c>
      <c r="B22" s="3" t="s">
        <v>48</v>
      </c>
      <c r="C22" s="78" t="s">
        <v>50</v>
      </c>
      <c r="D22" s="26">
        <v>14062500</v>
      </c>
      <c r="E22" s="55">
        <v>0</v>
      </c>
      <c r="F22" s="26">
        <v>14062500</v>
      </c>
      <c r="G22" s="56">
        <v>0</v>
      </c>
      <c r="H22" s="49">
        <f>SUM(I22+N22)</f>
        <v>14062500</v>
      </c>
      <c r="I22" s="27">
        <f t="shared" si="0"/>
        <v>0</v>
      </c>
      <c r="J22" s="57">
        <v>0</v>
      </c>
      <c r="K22" s="57">
        <v>0</v>
      </c>
      <c r="L22" s="57">
        <v>0</v>
      </c>
      <c r="M22" s="57">
        <v>0</v>
      </c>
      <c r="N22" s="26">
        <f>D22/0.5-D22</f>
        <v>14062500</v>
      </c>
      <c r="O22" s="26">
        <f t="shared" si="1"/>
        <v>28125000</v>
      </c>
      <c r="P22" s="27"/>
      <c r="Q22" s="21">
        <f>(D22-((D22*S8))/100)</f>
        <v>13311304.416570727</v>
      </c>
      <c r="R22" s="79"/>
      <c r="S22" s="79"/>
      <c r="T22" s="68">
        <v>0</v>
      </c>
    </row>
    <row r="23" spans="1:20" ht="24">
      <c r="A23" s="111" t="s">
        <v>60</v>
      </c>
      <c r="B23" s="109" t="s">
        <v>48</v>
      </c>
      <c r="C23" s="80" t="s">
        <v>49</v>
      </c>
      <c r="D23" s="24">
        <v>950515910</v>
      </c>
      <c r="E23" s="24">
        <v>0</v>
      </c>
      <c r="F23" s="24">
        <v>950515910</v>
      </c>
      <c r="G23" s="57">
        <v>0</v>
      </c>
      <c r="H23" s="49">
        <f t="shared" si="2"/>
        <v>351122032.0428623</v>
      </c>
      <c r="I23" s="24">
        <f>SUM(J23:M23)</f>
        <v>5170037.294117647</v>
      </c>
      <c r="J23" s="24">
        <f>J25+J27+J29+J31+J43</f>
        <v>5170037.294117647</v>
      </c>
      <c r="K23" s="24">
        <v>0</v>
      </c>
      <c r="L23" s="24">
        <v>0</v>
      </c>
      <c r="M23" s="24">
        <v>0</v>
      </c>
      <c r="N23" s="24">
        <f>N25+N27+N29+N31</f>
        <v>345951994.74874467</v>
      </c>
      <c r="O23" s="24">
        <f>SUM(D23,H23)</f>
        <v>1301637942.0428624</v>
      </c>
      <c r="P23" s="57"/>
      <c r="Q23" s="21">
        <f>(D23-((D23*S23))/100)</f>
        <v>883979797</v>
      </c>
      <c r="R23" s="24">
        <v>66536113</v>
      </c>
      <c r="S23" s="25">
        <f>(R23/D23)*100</f>
        <v>6.999999926355784</v>
      </c>
      <c r="T23" s="81">
        <v>0</v>
      </c>
    </row>
    <row r="24" spans="1:20" ht="24">
      <c r="A24" s="111"/>
      <c r="B24" s="109"/>
      <c r="C24" s="80" t="s">
        <v>50</v>
      </c>
      <c r="D24" s="24">
        <v>92635650</v>
      </c>
      <c r="E24" s="24">
        <v>0</v>
      </c>
      <c r="F24" s="24">
        <v>92635650</v>
      </c>
      <c r="G24" s="57">
        <v>0</v>
      </c>
      <c r="H24" s="49">
        <f>SUM(I24,N24)</f>
        <v>36774073.821428575</v>
      </c>
      <c r="I24" s="24">
        <f>SUM(J24:M24)</f>
        <v>488281</v>
      </c>
      <c r="J24" s="24">
        <f>J26+J28+J30+J32+J44</f>
        <v>488281</v>
      </c>
      <c r="K24" s="24">
        <v>0</v>
      </c>
      <c r="L24" s="24">
        <v>0</v>
      </c>
      <c r="M24" s="24">
        <v>0</v>
      </c>
      <c r="N24" s="24">
        <f>SUM(N26,N28,N30,N32,N44)</f>
        <v>36285792.821428575</v>
      </c>
      <c r="O24" s="24">
        <f>SUM(D24,H24)</f>
        <v>129409723.82142857</v>
      </c>
      <c r="P24" s="57"/>
      <c r="Q24" s="21">
        <f>(D24-((D24*S23))/100)</f>
        <v>86151154.5682208</v>
      </c>
      <c r="R24" s="24">
        <v>6484494</v>
      </c>
      <c r="S24" s="25">
        <f>(R24/D24)*100</f>
        <v>6.999998380752983</v>
      </c>
      <c r="T24" s="81">
        <v>0</v>
      </c>
    </row>
    <row r="25" spans="1:20" ht="24">
      <c r="A25" s="108" t="s">
        <v>61</v>
      </c>
      <c r="B25" s="122" t="s">
        <v>48</v>
      </c>
      <c r="C25" s="78" t="s">
        <v>49</v>
      </c>
      <c r="D25" s="26">
        <v>526990785.728063</v>
      </c>
      <c r="E25" s="26">
        <v>0</v>
      </c>
      <c r="F25" s="26">
        <v>526990785.728063</v>
      </c>
      <c r="G25" s="27">
        <v>0</v>
      </c>
      <c r="H25" s="49">
        <f>SUM(I25+N25)</f>
        <v>225853193.88345557</v>
      </c>
      <c r="I25" s="24">
        <f>SUM(J25:M25)</f>
        <v>0</v>
      </c>
      <c r="J25" s="27">
        <v>0</v>
      </c>
      <c r="K25" s="27">
        <v>0</v>
      </c>
      <c r="L25" s="27">
        <v>0</v>
      </c>
      <c r="M25" s="27">
        <v>0</v>
      </c>
      <c r="N25" s="26">
        <f>(F25*0.3)/0.7</f>
        <v>225853193.88345557</v>
      </c>
      <c r="O25" s="26">
        <f>D25+H25</f>
        <v>752843979.6115186</v>
      </c>
      <c r="P25" s="27"/>
      <c r="Q25" s="21">
        <f>(D25-((D25*S23))/100)</f>
        <v>490101431.1151968</v>
      </c>
      <c r="R25" s="65"/>
      <c r="S25" s="4">
        <v>7</v>
      </c>
      <c r="T25" s="27">
        <v>0</v>
      </c>
    </row>
    <row r="26" spans="1:20" ht="24">
      <c r="A26" s="108"/>
      <c r="B26" s="122"/>
      <c r="C26" s="61" t="s">
        <v>50</v>
      </c>
      <c r="D26" s="26">
        <v>56790774.271937</v>
      </c>
      <c r="E26" s="26">
        <v>0</v>
      </c>
      <c r="F26" s="26">
        <v>56790774.271937</v>
      </c>
      <c r="G26" s="27">
        <v>0</v>
      </c>
      <c r="H26" s="49">
        <f t="shared" si="2"/>
        <v>24338903</v>
      </c>
      <c r="I26" s="24">
        <f>SUM(J26:M26)</f>
        <v>0</v>
      </c>
      <c r="J26" s="27">
        <v>0</v>
      </c>
      <c r="K26" s="27">
        <v>0</v>
      </c>
      <c r="L26" s="27">
        <v>0</v>
      </c>
      <c r="M26" s="27">
        <v>0</v>
      </c>
      <c r="N26" s="26">
        <v>24338903</v>
      </c>
      <c r="O26" s="26">
        <f>D26+H26</f>
        <v>81129677.271937</v>
      </c>
      <c r="P26" s="27"/>
      <c r="Q26" s="21">
        <f>(D26-((D26*S25))/100)</f>
        <v>52815420.072901405</v>
      </c>
      <c r="R26" s="69"/>
      <c r="S26" s="4">
        <v>7</v>
      </c>
      <c r="T26" s="27">
        <v>0</v>
      </c>
    </row>
    <row r="27" spans="1:20" ht="24">
      <c r="A27" s="108" t="s">
        <v>62</v>
      </c>
      <c r="B27" s="116" t="s">
        <v>48</v>
      </c>
      <c r="C27" s="54" t="s">
        <v>49</v>
      </c>
      <c r="D27" s="26">
        <v>28125000</v>
      </c>
      <c r="E27" s="26">
        <v>0</v>
      </c>
      <c r="F27" s="26">
        <v>28125000</v>
      </c>
      <c r="G27" s="27">
        <v>0</v>
      </c>
      <c r="H27" s="49">
        <f t="shared" si="2"/>
        <v>992647</v>
      </c>
      <c r="I27" s="24">
        <v>0</v>
      </c>
      <c r="J27" s="26">
        <v>0</v>
      </c>
      <c r="K27" s="27">
        <v>0</v>
      </c>
      <c r="L27" s="27">
        <v>0</v>
      </c>
      <c r="M27" s="27">
        <v>0</v>
      </c>
      <c r="N27" s="26">
        <v>992647</v>
      </c>
      <c r="O27" s="26">
        <f>D27+H27</f>
        <v>29117647</v>
      </c>
      <c r="P27" s="27"/>
      <c r="Q27" s="21">
        <f>(D27-((D27*S27))/100)</f>
        <v>26156250</v>
      </c>
      <c r="R27" s="72"/>
      <c r="S27" s="4">
        <v>7</v>
      </c>
      <c r="T27" s="27">
        <v>0</v>
      </c>
    </row>
    <row r="28" spans="1:20" ht="24">
      <c r="A28" s="108"/>
      <c r="B28" s="116"/>
      <c r="C28" s="82" t="s">
        <v>50</v>
      </c>
      <c r="D28" s="48">
        <v>1875000</v>
      </c>
      <c r="E28" s="26">
        <v>0</v>
      </c>
      <c r="F28" s="48">
        <v>1875000</v>
      </c>
      <c r="G28" s="27">
        <v>0</v>
      </c>
      <c r="H28" s="49">
        <f>SUM(I28+N28)</f>
        <v>93750</v>
      </c>
      <c r="I28" s="24">
        <v>0</v>
      </c>
      <c r="J28" s="26">
        <v>0</v>
      </c>
      <c r="K28" s="83">
        <v>0</v>
      </c>
      <c r="L28" s="83">
        <v>0</v>
      </c>
      <c r="M28" s="83">
        <v>0</v>
      </c>
      <c r="N28" s="26">
        <v>93750</v>
      </c>
      <c r="O28" s="26">
        <f>D28+H28</f>
        <v>1968750</v>
      </c>
      <c r="P28" s="27"/>
      <c r="Q28" s="21">
        <f>(D28-((D28*S27))/100)</f>
        <v>1743750</v>
      </c>
      <c r="R28" s="75"/>
      <c r="S28" s="4">
        <v>7</v>
      </c>
      <c r="T28" s="27">
        <v>0</v>
      </c>
    </row>
    <row r="29" spans="1:20" ht="24">
      <c r="A29" s="108" t="s">
        <v>63</v>
      </c>
      <c r="B29" s="108" t="s">
        <v>48</v>
      </c>
      <c r="C29" s="78" t="s">
        <v>49</v>
      </c>
      <c r="D29" s="26">
        <v>89062500</v>
      </c>
      <c r="E29" s="26">
        <v>0</v>
      </c>
      <c r="F29" s="26">
        <v>89062500</v>
      </c>
      <c r="G29" s="27">
        <v>0</v>
      </c>
      <c r="H29" s="49">
        <f t="shared" si="2"/>
        <v>29687500</v>
      </c>
      <c r="I29" s="24">
        <f>SUM(J29:M29)</f>
        <v>0</v>
      </c>
      <c r="J29" s="83">
        <v>0</v>
      </c>
      <c r="K29" s="83">
        <v>0</v>
      </c>
      <c r="L29" s="83">
        <v>0</v>
      </c>
      <c r="M29" s="83">
        <v>0</v>
      </c>
      <c r="N29" s="26">
        <f>(F29*0.25)/0.75</f>
        <v>29687500</v>
      </c>
      <c r="O29" s="26">
        <f>N29+F29</f>
        <v>118750000</v>
      </c>
      <c r="P29" s="27"/>
      <c r="Q29" s="21">
        <f>(D29-((D29*S29))/100)</f>
        <v>82828125</v>
      </c>
      <c r="R29" s="75"/>
      <c r="S29" s="4">
        <v>7</v>
      </c>
      <c r="T29" s="27">
        <v>0</v>
      </c>
    </row>
    <row r="30" spans="1:20" ht="24">
      <c r="A30" s="108"/>
      <c r="B30" s="108"/>
      <c r="C30" s="78" t="s">
        <v>50</v>
      </c>
      <c r="D30" s="26">
        <v>5937500</v>
      </c>
      <c r="E30" s="26">
        <v>0</v>
      </c>
      <c r="F30" s="26">
        <v>5937500</v>
      </c>
      <c r="G30" s="27">
        <v>0</v>
      </c>
      <c r="H30" s="49">
        <f>SUM(I30+N30)</f>
        <v>1979166.6666666667</v>
      </c>
      <c r="I30" s="24">
        <f>SUM(J30:M30)</f>
        <v>0</v>
      </c>
      <c r="J30" s="27">
        <v>0</v>
      </c>
      <c r="K30" s="27">
        <v>0</v>
      </c>
      <c r="L30" s="27">
        <v>0</v>
      </c>
      <c r="M30" s="27">
        <v>0</v>
      </c>
      <c r="N30" s="26">
        <f>(F30*0.25)/0.75</f>
        <v>1979166.6666666667</v>
      </c>
      <c r="O30" s="26">
        <f>N30+F30</f>
        <v>7916666.666666667</v>
      </c>
      <c r="P30" s="27"/>
      <c r="Q30" s="21">
        <f>(D30-((D30*S29))/100)</f>
        <v>5521875</v>
      </c>
      <c r="R30" s="75"/>
      <c r="S30" s="4">
        <v>7</v>
      </c>
      <c r="T30" s="27">
        <v>0</v>
      </c>
    </row>
    <row r="31" spans="1:20" ht="24">
      <c r="A31" s="108" t="s">
        <v>64</v>
      </c>
      <c r="B31" s="120" t="s">
        <v>48</v>
      </c>
      <c r="C31" s="61" t="s">
        <v>49</v>
      </c>
      <c r="D31" s="84">
        <v>200400124</v>
      </c>
      <c r="E31" s="26">
        <v>0</v>
      </c>
      <c r="F31" s="84">
        <v>200400124</v>
      </c>
      <c r="G31" s="27">
        <v>0</v>
      </c>
      <c r="H31" s="49">
        <f t="shared" si="2"/>
        <v>89956337.86528909</v>
      </c>
      <c r="I31" s="24">
        <f>I33+I35+I37+I39+I41</f>
        <v>537684</v>
      </c>
      <c r="J31" s="26">
        <f>J33+J35+J37+J39+J41</f>
        <v>537684</v>
      </c>
      <c r="K31" s="27">
        <v>0</v>
      </c>
      <c r="L31" s="27">
        <v>0</v>
      </c>
      <c r="M31" s="27">
        <v>0</v>
      </c>
      <c r="N31" s="26">
        <f>N33+N35+N37+N39</f>
        <v>89418653.86528909</v>
      </c>
      <c r="O31" s="26">
        <f>D31+H31</f>
        <v>290356461.8652891</v>
      </c>
      <c r="P31" s="27"/>
      <c r="Q31" s="21">
        <f>(D31-((D31*S31))/100)</f>
        <v>186372115.32</v>
      </c>
      <c r="R31" s="72"/>
      <c r="S31" s="4">
        <v>7</v>
      </c>
      <c r="T31" s="85">
        <v>0</v>
      </c>
    </row>
    <row r="32" spans="1:20" ht="24">
      <c r="A32" s="108"/>
      <c r="B32" s="120"/>
      <c r="C32" s="82" t="s">
        <v>50</v>
      </c>
      <c r="D32" s="86">
        <v>20969876</v>
      </c>
      <c r="E32" s="48">
        <v>0</v>
      </c>
      <c r="F32" s="86">
        <v>20969876</v>
      </c>
      <c r="G32" s="27">
        <v>0</v>
      </c>
      <c r="H32" s="49">
        <f t="shared" si="2"/>
        <v>9924754.154761905</v>
      </c>
      <c r="I32" s="24">
        <f aca="true" t="shared" si="3" ref="I32:I51">SUM(J32:M32)</f>
        <v>50781</v>
      </c>
      <c r="J32" s="26">
        <f>J34+J36+J38+J40+J42</f>
        <v>50781</v>
      </c>
      <c r="K32" s="27">
        <v>0</v>
      </c>
      <c r="L32" s="27">
        <v>0</v>
      </c>
      <c r="M32" s="27">
        <v>0</v>
      </c>
      <c r="N32" s="26">
        <f>N34+N36+N38+N40</f>
        <v>9873973.154761905</v>
      </c>
      <c r="O32" s="26">
        <f>O34+O36+O38+O40+O42</f>
        <v>30894630.30312927</v>
      </c>
      <c r="P32" s="27"/>
      <c r="Q32" s="21">
        <f>(D32-((D32*S31))/100)</f>
        <v>19501984.68</v>
      </c>
      <c r="R32" s="69"/>
      <c r="S32" s="4">
        <v>7</v>
      </c>
      <c r="T32" s="85">
        <v>0</v>
      </c>
    </row>
    <row r="33" spans="1:20" ht="24">
      <c r="A33" s="108" t="s">
        <v>65</v>
      </c>
      <c r="B33" s="108" t="s">
        <v>48</v>
      </c>
      <c r="C33" s="78" t="s">
        <v>49</v>
      </c>
      <c r="D33" s="26">
        <v>39340500</v>
      </c>
      <c r="E33" s="26">
        <v>0</v>
      </c>
      <c r="F33" s="26">
        <v>39340500</v>
      </c>
      <c r="G33" s="27">
        <v>0</v>
      </c>
      <c r="H33" s="49">
        <f>SUM(I33+N33)</f>
        <v>16860214.285714287</v>
      </c>
      <c r="I33" s="24">
        <f t="shared" si="3"/>
        <v>0</v>
      </c>
      <c r="J33" s="27">
        <v>0</v>
      </c>
      <c r="K33" s="27">
        <v>0</v>
      </c>
      <c r="L33" s="27">
        <v>0</v>
      </c>
      <c r="M33" s="27">
        <v>0</v>
      </c>
      <c r="N33" s="26">
        <f>D33*0.3/0.7</f>
        <v>16860214.285714287</v>
      </c>
      <c r="O33" s="26">
        <f>D33+H33</f>
        <v>56200714.28571428</v>
      </c>
      <c r="P33" s="27"/>
      <c r="Q33" s="21">
        <f>(D33-((D33*S33))/100)</f>
        <v>36586665</v>
      </c>
      <c r="R33" s="79"/>
      <c r="S33" s="4">
        <v>7</v>
      </c>
      <c r="T33" s="27">
        <v>0</v>
      </c>
    </row>
    <row r="34" spans="1:20" ht="24">
      <c r="A34" s="108"/>
      <c r="B34" s="108"/>
      <c r="C34" s="78" t="s">
        <v>50</v>
      </c>
      <c r="D34" s="26">
        <v>4239500</v>
      </c>
      <c r="E34" s="26">
        <v>0</v>
      </c>
      <c r="F34" s="26">
        <v>4239500</v>
      </c>
      <c r="G34" s="27">
        <v>0</v>
      </c>
      <c r="H34" s="49">
        <f t="shared" si="2"/>
        <v>1816928.5714285716</v>
      </c>
      <c r="I34" s="24">
        <f t="shared" si="3"/>
        <v>0</v>
      </c>
      <c r="J34" s="27">
        <v>0</v>
      </c>
      <c r="K34" s="27">
        <v>0</v>
      </c>
      <c r="L34" s="27">
        <v>0</v>
      </c>
      <c r="M34" s="27">
        <v>0</v>
      </c>
      <c r="N34" s="26">
        <f>D34*0.3/0.7</f>
        <v>1816928.5714285716</v>
      </c>
      <c r="O34" s="26">
        <f>D34+H34</f>
        <v>6056428.571428572</v>
      </c>
      <c r="P34" s="27"/>
      <c r="Q34" s="21">
        <f>(D34-((D34*S33))/100)</f>
        <v>3942735</v>
      </c>
      <c r="R34" s="79"/>
      <c r="S34" s="4">
        <v>7</v>
      </c>
      <c r="T34" s="27">
        <v>0</v>
      </c>
    </row>
    <row r="35" spans="1:20" ht="24">
      <c r="A35" s="108" t="s">
        <v>66</v>
      </c>
      <c r="B35" s="121" t="s">
        <v>48</v>
      </c>
      <c r="C35" s="78" t="s">
        <v>49</v>
      </c>
      <c r="D35" s="26">
        <v>72822353</v>
      </c>
      <c r="E35" s="26">
        <v>0</v>
      </c>
      <c r="F35" s="26">
        <v>72822353</v>
      </c>
      <c r="G35" s="27">
        <v>0</v>
      </c>
      <c r="H35" s="49">
        <f t="shared" si="2"/>
        <v>24274117.5795748</v>
      </c>
      <c r="I35" s="24">
        <f t="shared" si="3"/>
        <v>0</v>
      </c>
      <c r="J35" s="27">
        <v>0</v>
      </c>
      <c r="K35" s="27">
        <v>0</v>
      </c>
      <c r="L35" s="27">
        <v>0</v>
      </c>
      <c r="M35" s="27">
        <v>0</v>
      </c>
      <c r="N35" s="26">
        <v>24274117.5795748</v>
      </c>
      <c r="O35" s="26">
        <f>SUM(D35+H35)</f>
        <v>97096470.5795748</v>
      </c>
      <c r="P35" s="27"/>
      <c r="Q35" s="21">
        <f>(D35-((D35*S35))/100)</f>
        <v>67724788.29</v>
      </c>
      <c r="R35" s="79"/>
      <c r="S35" s="4">
        <v>7</v>
      </c>
      <c r="T35" s="27">
        <v>0</v>
      </c>
    </row>
    <row r="36" spans="1:20" ht="24">
      <c r="A36" s="108"/>
      <c r="B36" s="121"/>
      <c r="C36" s="87" t="s">
        <v>50</v>
      </c>
      <c r="D36" s="48">
        <v>7847647</v>
      </c>
      <c r="E36" s="48">
        <v>0</v>
      </c>
      <c r="F36" s="48">
        <v>7847647</v>
      </c>
      <c r="G36" s="83">
        <v>0</v>
      </c>
      <c r="H36" s="49">
        <f>SUM(I36+N36)</f>
        <v>2615882.3333333335</v>
      </c>
      <c r="I36" s="24">
        <f t="shared" si="3"/>
        <v>0</v>
      </c>
      <c r="J36" s="48">
        <v>0</v>
      </c>
      <c r="K36" s="83">
        <v>0</v>
      </c>
      <c r="L36" s="83">
        <v>0</v>
      </c>
      <c r="M36" s="83">
        <v>0</v>
      </c>
      <c r="N36" s="26">
        <f>(F36*0.25)/0.75</f>
        <v>2615882.3333333335</v>
      </c>
      <c r="O36" s="26">
        <v>10463529.4817007</v>
      </c>
      <c r="P36" s="27"/>
      <c r="Q36" s="21">
        <f>(D36-((D36*S35))/100)</f>
        <v>7298311.71</v>
      </c>
      <c r="R36" s="79"/>
      <c r="S36" s="4">
        <v>7</v>
      </c>
      <c r="T36" s="27">
        <v>0</v>
      </c>
    </row>
    <row r="37" spans="1:20" ht="24">
      <c r="A37" s="108" t="s">
        <v>67</v>
      </c>
      <c r="B37" s="108" t="s">
        <v>48</v>
      </c>
      <c r="C37" s="78" t="s">
        <v>49</v>
      </c>
      <c r="D37" s="26">
        <v>30015411</v>
      </c>
      <c r="E37" s="26">
        <v>0</v>
      </c>
      <c r="F37" s="26">
        <v>30015411</v>
      </c>
      <c r="G37" s="27">
        <v>0</v>
      </c>
      <c r="H37" s="49">
        <f t="shared" si="2"/>
        <v>5296837</v>
      </c>
      <c r="I37" s="24">
        <f t="shared" si="3"/>
        <v>0</v>
      </c>
      <c r="J37" s="26">
        <v>0</v>
      </c>
      <c r="K37" s="27">
        <v>0</v>
      </c>
      <c r="L37" s="27">
        <v>0</v>
      </c>
      <c r="M37" s="27">
        <v>0</v>
      </c>
      <c r="N37" s="26">
        <v>5296837</v>
      </c>
      <c r="O37" s="26">
        <f>D37+H37</f>
        <v>35312248</v>
      </c>
      <c r="P37" s="27"/>
      <c r="Q37" s="21">
        <f>(D37-((D37*S37))/100)</f>
        <v>27914332.23</v>
      </c>
      <c r="R37" s="79"/>
      <c r="S37" s="4">
        <v>7</v>
      </c>
      <c r="T37" s="27">
        <v>0</v>
      </c>
    </row>
    <row r="38" spans="1:20" ht="24">
      <c r="A38" s="108"/>
      <c r="B38" s="108"/>
      <c r="C38" s="78" t="s">
        <v>50</v>
      </c>
      <c r="D38" s="26">
        <v>3234589</v>
      </c>
      <c r="E38" s="26">
        <v>0</v>
      </c>
      <c r="F38" s="26">
        <v>3234589</v>
      </c>
      <c r="G38" s="27">
        <v>0</v>
      </c>
      <c r="H38" s="49">
        <f t="shared" si="2"/>
        <v>808647.25</v>
      </c>
      <c r="I38" s="24">
        <f t="shared" si="3"/>
        <v>0</v>
      </c>
      <c r="J38" s="26">
        <v>0</v>
      </c>
      <c r="K38" s="27">
        <v>0</v>
      </c>
      <c r="L38" s="27">
        <v>0</v>
      </c>
      <c r="M38" s="27">
        <v>0</v>
      </c>
      <c r="N38" s="26">
        <f>(F38*0.2)/0.8</f>
        <v>808647.25</v>
      </c>
      <c r="O38" s="26">
        <f>F38+H38</f>
        <v>4043236.25</v>
      </c>
      <c r="P38" s="27"/>
      <c r="Q38" s="21">
        <f>(D38-((D38*S37))/100)</f>
        <v>3008167.77</v>
      </c>
      <c r="R38" s="79"/>
      <c r="S38" s="4">
        <v>7</v>
      </c>
      <c r="T38" s="27">
        <v>0</v>
      </c>
    </row>
    <row r="39" spans="1:20" ht="24">
      <c r="A39" s="108" t="s">
        <v>68</v>
      </c>
      <c r="B39" s="108" t="s">
        <v>48</v>
      </c>
      <c r="C39" s="78" t="s">
        <v>49</v>
      </c>
      <c r="D39" s="26">
        <v>42987485</v>
      </c>
      <c r="E39" s="26">
        <v>0</v>
      </c>
      <c r="F39" s="26">
        <v>42987485</v>
      </c>
      <c r="G39" s="27">
        <v>0</v>
      </c>
      <c r="H39" s="49">
        <f>SUM(I39+N39)</f>
        <v>42987485</v>
      </c>
      <c r="I39" s="24">
        <f t="shared" si="3"/>
        <v>0</v>
      </c>
      <c r="J39" s="26">
        <v>0</v>
      </c>
      <c r="K39" s="27">
        <v>0</v>
      </c>
      <c r="L39" s="27">
        <v>0</v>
      </c>
      <c r="M39" s="27">
        <v>0</v>
      </c>
      <c r="N39" s="26">
        <v>42987485</v>
      </c>
      <c r="O39" s="26">
        <f>D39+H39</f>
        <v>85974970</v>
      </c>
      <c r="P39" s="27"/>
      <c r="Q39" s="21">
        <f>(D39-((D39*S39))/100)</f>
        <v>39978361.05</v>
      </c>
      <c r="R39" s="65"/>
      <c r="S39" s="4">
        <v>7</v>
      </c>
      <c r="T39" s="27">
        <v>0</v>
      </c>
    </row>
    <row r="40" spans="1:20" ht="24">
      <c r="A40" s="108"/>
      <c r="B40" s="108"/>
      <c r="C40" s="78" t="s">
        <v>50</v>
      </c>
      <c r="D40" s="26">
        <v>4632515</v>
      </c>
      <c r="E40" s="26">
        <v>0</v>
      </c>
      <c r="F40" s="26">
        <v>4632515</v>
      </c>
      <c r="G40" s="27">
        <v>0</v>
      </c>
      <c r="H40" s="49">
        <f t="shared" si="2"/>
        <v>4632515</v>
      </c>
      <c r="I40" s="24">
        <f t="shared" si="3"/>
        <v>0</v>
      </c>
      <c r="J40" s="26">
        <v>0</v>
      </c>
      <c r="K40" s="27">
        <v>0</v>
      </c>
      <c r="L40" s="27">
        <v>0</v>
      </c>
      <c r="M40" s="27">
        <v>0</v>
      </c>
      <c r="N40" s="26">
        <f>(F40*0.5)/0.5</f>
        <v>4632515</v>
      </c>
      <c r="O40" s="26">
        <f>+SUM(D40+H40)</f>
        <v>9265030</v>
      </c>
      <c r="P40" s="27"/>
      <c r="Q40" s="21">
        <f>(D40-((D40*S39))/100)</f>
        <v>4308238.95</v>
      </c>
      <c r="R40" s="69"/>
      <c r="S40" s="4">
        <v>7</v>
      </c>
      <c r="T40" s="27">
        <v>0</v>
      </c>
    </row>
    <row r="41" spans="1:20" ht="24">
      <c r="A41" s="108" t="s">
        <v>69</v>
      </c>
      <c r="B41" s="108" t="s">
        <v>48</v>
      </c>
      <c r="C41" s="78" t="s">
        <v>49</v>
      </c>
      <c r="D41" s="26">
        <v>15234375</v>
      </c>
      <c r="E41" s="26">
        <v>0</v>
      </c>
      <c r="F41" s="26">
        <v>15234375</v>
      </c>
      <c r="G41" s="27">
        <v>0</v>
      </c>
      <c r="H41" s="49">
        <f t="shared" si="2"/>
        <v>537684</v>
      </c>
      <c r="I41" s="24">
        <f t="shared" si="3"/>
        <v>537684</v>
      </c>
      <c r="J41" s="26">
        <v>537684</v>
      </c>
      <c r="K41" s="27">
        <v>0</v>
      </c>
      <c r="L41" s="27">
        <v>0</v>
      </c>
      <c r="M41" s="27">
        <v>0</v>
      </c>
      <c r="N41" s="26">
        <v>0</v>
      </c>
      <c r="O41" s="26">
        <f>D41+H41</f>
        <v>15772059</v>
      </c>
      <c r="P41" s="27"/>
      <c r="Q41" s="21">
        <f>(D41-((D41*S41))/100)</f>
        <v>14167968.75</v>
      </c>
      <c r="R41" s="72"/>
      <c r="S41" s="4">
        <v>7</v>
      </c>
      <c r="T41" s="27">
        <v>0</v>
      </c>
    </row>
    <row r="42" spans="1:20" ht="24">
      <c r="A42" s="108"/>
      <c r="B42" s="108"/>
      <c r="C42" s="78" t="s">
        <v>50</v>
      </c>
      <c r="D42" s="26">
        <v>1015625</v>
      </c>
      <c r="E42" s="26">
        <v>0</v>
      </c>
      <c r="F42" s="26">
        <v>1015625</v>
      </c>
      <c r="G42" s="27">
        <v>0</v>
      </c>
      <c r="H42" s="49">
        <f>SUM(I42+N42)</f>
        <v>50781</v>
      </c>
      <c r="I42" s="24">
        <f t="shared" si="3"/>
        <v>50781</v>
      </c>
      <c r="J42" s="26">
        <v>50781</v>
      </c>
      <c r="K42" s="27">
        <v>0</v>
      </c>
      <c r="L42" s="27">
        <v>0</v>
      </c>
      <c r="M42" s="27">
        <v>0</v>
      </c>
      <c r="N42" s="26">
        <v>0</v>
      </c>
      <c r="O42" s="26">
        <f>D42+H42</f>
        <v>1066406</v>
      </c>
      <c r="P42" s="27"/>
      <c r="Q42" s="21">
        <f>(D42-((D42*S41))/100)</f>
        <v>944531.25</v>
      </c>
      <c r="R42" s="75"/>
      <c r="S42" s="4">
        <v>7</v>
      </c>
      <c r="T42" s="27">
        <v>0</v>
      </c>
    </row>
    <row r="43" spans="1:20" ht="24">
      <c r="A43" s="108" t="s">
        <v>70</v>
      </c>
      <c r="B43" s="108" t="s">
        <v>48</v>
      </c>
      <c r="C43" s="78" t="s">
        <v>49</v>
      </c>
      <c r="D43" s="26">
        <v>105937500</v>
      </c>
      <c r="E43" s="26">
        <v>0</v>
      </c>
      <c r="F43" s="26">
        <v>105937500</v>
      </c>
      <c r="G43" s="27">
        <v>0</v>
      </c>
      <c r="H43" s="49">
        <f t="shared" si="2"/>
        <v>4632353.294117647</v>
      </c>
      <c r="I43" s="24">
        <f t="shared" si="3"/>
        <v>4632353.294117647</v>
      </c>
      <c r="J43" s="26">
        <f>J45+J47</f>
        <v>4632353.294117647</v>
      </c>
      <c r="K43" s="27">
        <v>0</v>
      </c>
      <c r="L43" s="27">
        <v>0</v>
      </c>
      <c r="M43" s="27">
        <v>0</v>
      </c>
      <c r="N43" s="26">
        <v>0</v>
      </c>
      <c r="O43" s="26">
        <f>O45+O47</f>
        <v>110569853.29411764</v>
      </c>
      <c r="P43" s="88"/>
      <c r="Q43" s="21">
        <f>(D43-((D43*S43))/100)</f>
        <v>98521875</v>
      </c>
      <c r="R43" s="75"/>
      <c r="S43" s="4">
        <v>7</v>
      </c>
      <c r="T43" s="85">
        <v>0</v>
      </c>
    </row>
    <row r="44" spans="1:20" ht="24">
      <c r="A44" s="108"/>
      <c r="B44" s="108"/>
      <c r="C44" s="78" t="s">
        <v>50</v>
      </c>
      <c r="D44" s="26">
        <v>7062500</v>
      </c>
      <c r="E44" s="26">
        <v>0</v>
      </c>
      <c r="F44" s="26">
        <v>7062500</v>
      </c>
      <c r="G44" s="27">
        <v>0</v>
      </c>
      <c r="H44" s="49">
        <f t="shared" si="2"/>
        <v>437500</v>
      </c>
      <c r="I44" s="24">
        <f t="shared" si="3"/>
        <v>437500</v>
      </c>
      <c r="J44" s="26">
        <f>J46+J48</f>
        <v>437500</v>
      </c>
      <c r="K44" s="27">
        <v>0</v>
      </c>
      <c r="L44" s="27">
        <v>0</v>
      </c>
      <c r="M44" s="27">
        <v>0</v>
      </c>
      <c r="N44" s="26">
        <v>0</v>
      </c>
      <c r="O44" s="26">
        <f>O46+O48</f>
        <v>7500000</v>
      </c>
      <c r="P44" s="88"/>
      <c r="Q44" s="21">
        <f>(D44-((D44*S43))/100)</f>
        <v>6568125</v>
      </c>
      <c r="R44" s="75"/>
      <c r="S44" s="4">
        <v>7</v>
      </c>
      <c r="T44" s="85">
        <v>0</v>
      </c>
    </row>
    <row r="45" spans="1:20" ht="24">
      <c r="A45" s="108" t="s">
        <v>71</v>
      </c>
      <c r="B45" s="108" t="s">
        <v>48</v>
      </c>
      <c r="C45" s="87" t="s">
        <v>49</v>
      </c>
      <c r="D45" s="48">
        <v>93750000</v>
      </c>
      <c r="E45" s="48">
        <v>0</v>
      </c>
      <c r="F45" s="48">
        <v>93750000</v>
      </c>
      <c r="G45" s="83">
        <v>0</v>
      </c>
      <c r="H45" s="49">
        <f>SUM(I45+N45)</f>
        <v>2481618</v>
      </c>
      <c r="I45" s="24">
        <f t="shared" si="3"/>
        <v>2481618</v>
      </c>
      <c r="J45" s="48">
        <v>2481618</v>
      </c>
      <c r="K45" s="83">
        <v>0</v>
      </c>
      <c r="L45" s="83">
        <v>0</v>
      </c>
      <c r="M45" s="83">
        <v>0</v>
      </c>
      <c r="N45" s="48">
        <v>0</v>
      </c>
      <c r="O45" s="48">
        <f>F45+H45</f>
        <v>96231618</v>
      </c>
      <c r="P45" s="89"/>
      <c r="Q45" s="21">
        <f>(D45-((D45*S45))/100)</f>
        <v>87187500</v>
      </c>
      <c r="R45" s="72"/>
      <c r="S45" s="4">
        <v>7</v>
      </c>
      <c r="T45" s="27">
        <v>0</v>
      </c>
    </row>
    <row r="46" spans="1:20" ht="24">
      <c r="A46" s="108"/>
      <c r="B46" s="108"/>
      <c r="C46" s="78" t="s">
        <v>50</v>
      </c>
      <c r="D46" s="26">
        <v>6250000</v>
      </c>
      <c r="E46" s="26">
        <v>0</v>
      </c>
      <c r="F46" s="26">
        <v>6250000</v>
      </c>
      <c r="G46" s="27">
        <v>0</v>
      </c>
      <c r="H46" s="49">
        <f t="shared" si="2"/>
        <v>234375</v>
      </c>
      <c r="I46" s="24">
        <f t="shared" si="3"/>
        <v>234375</v>
      </c>
      <c r="J46" s="26">
        <v>234375</v>
      </c>
      <c r="K46" s="27">
        <v>0</v>
      </c>
      <c r="L46" s="27">
        <v>0</v>
      </c>
      <c r="M46" s="27">
        <v>0</v>
      </c>
      <c r="N46" s="26">
        <v>0</v>
      </c>
      <c r="O46" s="26">
        <f>F46+H46</f>
        <v>6484375</v>
      </c>
      <c r="P46" s="88"/>
      <c r="Q46" s="21">
        <f>(D46-((D46*S45))/100)</f>
        <v>5812500</v>
      </c>
      <c r="R46" s="79"/>
      <c r="S46" s="4">
        <v>7</v>
      </c>
      <c r="T46" s="27">
        <v>0</v>
      </c>
    </row>
    <row r="47" spans="1:20" ht="24">
      <c r="A47" s="108" t="s">
        <v>72</v>
      </c>
      <c r="B47" s="108" t="s">
        <v>48</v>
      </c>
      <c r="C47" s="78" t="s">
        <v>49</v>
      </c>
      <c r="D47" s="26">
        <v>12187500</v>
      </c>
      <c r="E47" s="26">
        <v>0</v>
      </c>
      <c r="F47" s="26">
        <v>12187500</v>
      </c>
      <c r="G47" s="27">
        <v>0</v>
      </c>
      <c r="H47" s="49">
        <f t="shared" si="2"/>
        <v>2150735.294117647</v>
      </c>
      <c r="I47" s="24">
        <f t="shared" si="3"/>
        <v>2150735.294117647</v>
      </c>
      <c r="J47" s="26">
        <f>(D47*0.15)/0.85</f>
        <v>2150735.294117647</v>
      </c>
      <c r="K47" s="27">
        <v>0</v>
      </c>
      <c r="L47" s="27">
        <v>0</v>
      </c>
      <c r="M47" s="27">
        <v>0</v>
      </c>
      <c r="N47" s="26">
        <v>0</v>
      </c>
      <c r="O47" s="26">
        <f>H47+D47</f>
        <v>14338235.294117648</v>
      </c>
      <c r="P47" s="27"/>
      <c r="Q47" s="21">
        <f>(D47-((D47*S47))/100)</f>
        <v>11334375</v>
      </c>
      <c r="R47" s="79"/>
      <c r="S47" s="4">
        <v>7</v>
      </c>
      <c r="T47" s="27">
        <v>0</v>
      </c>
    </row>
    <row r="48" spans="1:20" ht="24">
      <c r="A48" s="108"/>
      <c r="B48" s="108"/>
      <c r="C48" s="78" t="s">
        <v>50</v>
      </c>
      <c r="D48" s="26">
        <v>812500</v>
      </c>
      <c r="E48" s="26">
        <v>0</v>
      </c>
      <c r="F48" s="26">
        <v>812500</v>
      </c>
      <c r="G48" s="27">
        <v>0</v>
      </c>
      <c r="H48" s="49">
        <f>SUM(I48+N48)</f>
        <v>203125</v>
      </c>
      <c r="I48" s="24">
        <f t="shared" si="3"/>
        <v>203125</v>
      </c>
      <c r="J48" s="26">
        <f>(D48*0.2)/0.8</f>
        <v>203125</v>
      </c>
      <c r="K48" s="27">
        <v>0</v>
      </c>
      <c r="L48" s="27">
        <v>0</v>
      </c>
      <c r="M48" s="27">
        <v>0</v>
      </c>
      <c r="N48" s="26">
        <v>0</v>
      </c>
      <c r="O48" s="26">
        <f>H48+D48</f>
        <v>1015625</v>
      </c>
      <c r="P48" s="27"/>
      <c r="Q48" s="21">
        <f>(D48-((D48*S47))/100)</f>
        <v>755625</v>
      </c>
      <c r="R48" s="79"/>
      <c r="S48" s="4">
        <v>7</v>
      </c>
      <c r="T48" s="27">
        <v>0</v>
      </c>
    </row>
    <row r="49" spans="1:20" ht="24">
      <c r="A49" s="118" t="s">
        <v>73</v>
      </c>
      <c r="B49" s="109" t="s">
        <v>74</v>
      </c>
      <c r="C49" s="80" t="s">
        <v>49</v>
      </c>
      <c r="D49" s="24">
        <v>419763520</v>
      </c>
      <c r="E49" s="24">
        <v>0</v>
      </c>
      <c r="F49" s="24">
        <v>419763520</v>
      </c>
      <c r="G49" s="57">
        <v>0</v>
      </c>
      <c r="H49" s="49">
        <f t="shared" si="2"/>
        <v>143408155.666667</v>
      </c>
      <c r="I49" s="24">
        <f t="shared" si="3"/>
        <v>0</v>
      </c>
      <c r="J49" s="57">
        <v>0</v>
      </c>
      <c r="K49" s="57">
        <v>0</v>
      </c>
      <c r="L49" s="57">
        <v>0</v>
      </c>
      <c r="M49" s="57">
        <v>0</v>
      </c>
      <c r="N49" s="26">
        <v>143408155.666667</v>
      </c>
      <c r="O49" s="24">
        <f>SUM(D49+H49)</f>
        <v>563171675.666667</v>
      </c>
      <c r="P49" s="57"/>
      <c r="Q49" s="24">
        <f>SUM(D49-R49)</f>
        <v>390380074</v>
      </c>
      <c r="R49" s="90">
        <v>29383446</v>
      </c>
      <c r="S49" s="25">
        <f>(R49/D49)*100</f>
        <v>6.999999904708251</v>
      </c>
      <c r="T49" s="91">
        <v>0</v>
      </c>
    </row>
    <row r="50" spans="1:20" ht="24">
      <c r="A50" s="118"/>
      <c r="B50" s="109"/>
      <c r="C50" s="80" t="s">
        <v>50</v>
      </c>
      <c r="D50" s="24">
        <f>SUM(D54)</f>
        <v>29056347</v>
      </c>
      <c r="E50" s="24">
        <v>0</v>
      </c>
      <c r="F50" s="24">
        <f>D50</f>
        <v>29056347</v>
      </c>
      <c r="G50" s="57">
        <v>0</v>
      </c>
      <c r="H50" s="49">
        <f t="shared" si="2"/>
        <v>10632655.75</v>
      </c>
      <c r="I50" s="24">
        <f t="shared" si="3"/>
        <v>0</v>
      </c>
      <c r="J50" s="57">
        <v>0</v>
      </c>
      <c r="K50" s="57">
        <v>0</v>
      </c>
      <c r="L50" s="57">
        <v>0</v>
      </c>
      <c r="M50" s="57">
        <v>0</v>
      </c>
      <c r="N50" s="24">
        <f>SUM(N54)</f>
        <v>10632655.75</v>
      </c>
      <c r="O50" s="24">
        <f>SUM(D50+H50)</f>
        <v>39689002.75</v>
      </c>
      <c r="P50" s="57"/>
      <c r="Q50" s="24">
        <f>SUM(D50-R50)</f>
        <v>27022403</v>
      </c>
      <c r="R50" s="90">
        <v>2033944</v>
      </c>
      <c r="S50" s="25">
        <f>(R50/D50)*100</f>
        <v>6.999999001939232</v>
      </c>
      <c r="T50" s="91">
        <v>0</v>
      </c>
    </row>
    <row r="51" spans="1:20" ht="24">
      <c r="A51" s="118"/>
      <c r="B51" s="119" t="s">
        <v>75</v>
      </c>
      <c r="C51" s="80" t="s">
        <v>49</v>
      </c>
      <c r="D51" s="24">
        <f>SUM(D65,D73)</f>
        <v>1585668881</v>
      </c>
      <c r="E51" s="24">
        <v>0</v>
      </c>
      <c r="F51" s="24">
        <f>SUM(F65,F73)</f>
        <v>1585668881</v>
      </c>
      <c r="G51" s="57">
        <v>0</v>
      </c>
      <c r="H51" s="49">
        <f>SUM(I51+N51)</f>
        <v>630836778.4629124</v>
      </c>
      <c r="I51" s="24">
        <f t="shared" si="3"/>
        <v>6362206.294117647</v>
      </c>
      <c r="J51" s="24">
        <f>SUM(J73)</f>
        <v>6362206.294117647</v>
      </c>
      <c r="K51" s="24">
        <v>0</v>
      </c>
      <c r="L51" s="24">
        <v>0</v>
      </c>
      <c r="M51" s="24">
        <v>0</v>
      </c>
      <c r="N51" s="24">
        <f>SUM(N65,N73)</f>
        <v>624474572.1687948</v>
      </c>
      <c r="O51" s="24">
        <f>SUM(D51,H51)</f>
        <v>2216505659.4629126</v>
      </c>
      <c r="P51" s="57"/>
      <c r="Q51" s="24">
        <f>SUM(D51-R51)</f>
        <v>1474672059</v>
      </c>
      <c r="R51" s="90">
        <v>110996822</v>
      </c>
      <c r="S51" s="25">
        <f>(R51/D51)*100</f>
        <v>7.000000020811406</v>
      </c>
      <c r="T51" s="91">
        <v>0</v>
      </c>
    </row>
    <row r="52" spans="1:20" ht="24">
      <c r="A52" s="118"/>
      <c r="B52" s="119"/>
      <c r="C52" s="80" t="s">
        <v>50</v>
      </c>
      <c r="D52" s="24">
        <f>SUM(D66,D74)</f>
        <v>166389654</v>
      </c>
      <c r="E52" s="24">
        <v>0</v>
      </c>
      <c r="F52" s="24">
        <f>SUM(F66,F74)</f>
        <v>166389654</v>
      </c>
      <c r="G52" s="57">
        <v>0</v>
      </c>
      <c r="H52" s="49">
        <f>SUM(I52+N52)</f>
        <v>67312873.34099624</v>
      </c>
      <c r="I52" s="24">
        <f>SUM(J52:M52)</f>
        <v>798152</v>
      </c>
      <c r="J52" s="24">
        <f>SUM(J74)</f>
        <v>798152</v>
      </c>
      <c r="K52" s="24">
        <v>0</v>
      </c>
      <c r="L52" s="24">
        <v>0</v>
      </c>
      <c r="M52" s="24">
        <v>0</v>
      </c>
      <c r="N52" s="24">
        <f>SUM(N66,N74)</f>
        <v>66514721.34099624</v>
      </c>
      <c r="O52" s="24">
        <f>SUM(D52,H52)</f>
        <v>233702527.34099624</v>
      </c>
      <c r="P52" s="57"/>
      <c r="Q52" s="24">
        <f>SUM(D52-R52)</f>
        <v>154742378</v>
      </c>
      <c r="R52" s="90">
        <v>11647276</v>
      </c>
      <c r="S52" s="25">
        <f>(R52/D52)*100</f>
        <v>7.00000013221976</v>
      </c>
      <c r="T52" s="91">
        <v>0</v>
      </c>
    </row>
    <row r="53" spans="1:20" ht="24">
      <c r="A53" s="108" t="s">
        <v>76</v>
      </c>
      <c r="B53" s="108" t="s">
        <v>74</v>
      </c>
      <c r="C53" s="78" t="s">
        <v>49</v>
      </c>
      <c r="D53" s="26">
        <f>SUM(D55,D57,D59,D61,D63,)</f>
        <v>419763520</v>
      </c>
      <c r="E53" s="26">
        <v>0</v>
      </c>
      <c r="F53" s="26">
        <f aca="true" t="shared" si="4" ref="F53:F63">D53</f>
        <v>419763520</v>
      </c>
      <c r="G53" s="27">
        <v>0</v>
      </c>
      <c r="H53" s="49">
        <f t="shared" si="2"/>
        <v>143408155.66666666</v>
      </c>
      <c r="I53" s="24"/>
      <c r="J53" s="26">
        <f>J55+J57+J59</f>
        <v>0</v>
      </c>
      <c r="K53" s="27">
        <v>0</v>
      </c>
      <c r="L53" s="27">
        <v>0</v>
      </c>
      <c r="M53" s="27">
        <v>0</v>
      </c>
      <c r="N53" s="26">
        <f>N55+N57+N59+N61+N63</f>
        <v>143408155.66666666</v>
      </c>
      <c r="O53" s="26">
        <f>O55+O57+O59+O61+O63</f>
        <v>563171675.6666666</v>
      </c>
      <c r="P53" s="53"/>
      <c r="Q53" s="21">
        <f aca="true" t="shared" si="5" ref="Q53:Q77">(D53-((D53*S53))/100)</f>
        <v>390380073.6</v>
      </c>
      <c r="R53" s="79"/>
      <c r="S53" s="5">
        <v>7</v>
      </c>
      <c r="T53" s="62">
        <v>0</v>
      </c>
    </row>
    <row r="54" spans="1:20" ht="24">
      <c r="A54" s="108"/>
      <c r="B54" s="108"/>
      <c r="C54" s="78" t="s">
        <v>50</v>
      </c>
      <c r="D54" s="26">
        <f>SUM(D56,D58,D60,D62,D64,)</f>
        <v>29056347</v>
      </c>
      <c r="E54" s="26">
        <v>0</v>
      </c>
      <c r="F54" s="26">
        <f t="shared" si="4"/>
        <v>29056347</v>
      </c>
      <c r="G54" s="27">
        <v>0</v>
      </c>
      <c r="H54" s="49">
        <f>SUM(I54+N54)</f>
        <v>10632655.75</v>
      </c>
      <c r="I54" s="24"/>
      <c r="J54" s="26">
        <f>J56+J58+J60</f>
        <v>0</v>
      </c>
      <c r="K54" s="27">
        <v>0</v>
      </c>
      <c r="L54" s="27">
        <v>0</v>
      </c>
      <c r="M54" s="27">
        <v>0</v>
      </c>
      <c r="N54" s="26">
        <f>N56+N58+N60+N62+N64</f>
        <v>10632655.75</v>
      </c>
      <c r="O54" s="26">
        <f>O56+O58+O60+O62+O64</f>
        <v>39689002.75</v>
      </c>
      <c r="P54" s="53"/>
      <c r="Q54" s="21">
        <f aca="true" t="shared" si="6" ref="Q54:Q80">(D54-((D54*S53))/100)</f>
        <v>27022402.71</v>
      </c>
      <c r="R54" s="79"/>
      <c r="S54" s="5">
        <v>7</v>
      </c>
      <c r="T54" s="62">
        <v>0</v>
      </c>
    </row>
    <row r="55" spans="1:20" ht="24">
      <c r="A55" s="108" t="s">
        <v>77</v>
      </c>
      <c r="B55" s="108" t="s">
        <v>74</v>
      </c>
      <c r="C55" s="78" t="s">
        <v>49</v>
      </c>
      <c r="D55" s="26">
        <v>169351875</v>
      </c>
      <c r="E55" s="26">
        <v>0</v>
      </c>
      <c r="F55" s="26">
        <f t="shared" si="4"/>
        <v>169351875</v>
      </c>
      <c r="G55" s="27">
        <v>0</v>
      </c>
      <c r="H55" s="49">
        <f t="shared" si="2"/>
        <v>29885625</v>
      </c>
      <c r="I55" s="24">
        <f>SUM(J55:M55)</f>
        <v>0</v>
      </c>
      <c r="J55" s="26">
        <v>0</v>
      </c>
      <c r="K55" s="27">
        <v>0</v>
      </c>
      <c r="L55" s="27">
        <v>0</v>
      </c>
      <c r="M55" s="27">
        <v>0</v>
      </c>
      <c r="N55" s="26">
        <f>(D55*0.15)/0.85</f>
        <v>29885625</v>
      </c>
      <c r="O55" s="26">
        <f>H55+F55</f>
        <v>199237500</v>
      </c>
      <c r="P55" s="53"/>
      <c r="Q55" s="21">
        <f t="shared" si="5"/>
        <v>157497243.75</v>
      </c>
      <c r="R55" s="92"/>
      <c r="S55" s="5">
        <v>7</v>
      </c>
      <c r="T55" s="62">
        <v>0</v>
      </c>
    </row>
    <row r="56" spans="1:20" ht="24">
      <c r="A56" s="108"/>
      <c r="B56" s="108"/>
      <c r="C56" s="78" t="s">
        <v>50</v>
      </c>
      <c r="D56" s="26">
        <v>11290125</v>
      </c>
      <c r="E56" s="26">
        <v>0</v>
      </c>
      <c r="F56" s="26">
        <f t="shared" si="4"/>
        <v>11290125</v>
      </c>
      <c r="G56" s="27">
        <v>0</v>
      </c>
      <c r="H56" s="49">
        <f t="shared" si="2"/>
        <v>1992375</v>
      </c>
      <c r="I56" s="24"/>
      <c r="J56" s="26">
        <v>0</v>
      </c>
      <c r="K56" s="27">
        <v>0</v>
      </c>
      <c r="L56" s="27">
        <v>0</v>
      </c>
      <c r="M56" s="27">
        <v>0</v>
      </c>
      <c r="N56" s="26">
        <f>(D56*0.15)/0.85</f>
        <v>1992375</v>
      </c>
      <c r="O56" s="26">
        <f>H56+F56</f>
        <v>13282500</v>
      </c>
      <c r="P56" s="53"/>
      <c r="Q56" s="21">
        <f t="shared" si="6"/>
        <v>10499816.25</v>
      </c>
      <c r="R56" s="92"/>
      <c r="S56" s="5">
        <v>7</v>
      </c>
      <c r="T56" s="62">
        <v>0</v>
      </c>
    </row>
    <row r="57" spans="1:20" ht="24">
      <c r="A57" s="109" t="s">
        <v>78</v>
      </c>
      <c r="B57" s="109" t="s">
        <v>74</v>
      </c>
      <c r="C57" s="80" t="s">
        <v>49</v>
      </c>
      <c r="D57" s="24">
        <v>54560603</v>
      </c>
      <c r="E57" s="24">
        <v>0</v>
      </c>
      <c r="F57" s="24">
        <f t="shared" si="4"/>
        <v>54560603</v>
      </c>
      <c r="G57" s="57">
        <v>0</v>
      </c>
      <c r="H57" s="49">
        <f>SUM(I57+N57)</f>
        <v>54560603</v>
      </c>
      <c r="I57" s="24">
        <f aca="true" t="shared" si="7" ref="I57:I64">SUM(J57:M57)</f>
        <v>0</v>
      </c>
      <c r="J57" s="26">
        <v>0</v>
      </c>
      <c r="K57" s="27">
        <v>0</v>
      </c>
      <c r="L57" s="27">
        <v>0</v>
      </c>
      <c r="M57" s="27">
        <v>0</v>
      </c>
      <c r="N57" s="26">
        <f>(D57*0.5)/0.5</f>
        <v>54560603</v>
      </c>
      <c r="O57" s="26">
        <f>F57+H57</f>
        <v>109121206</v>
      </c>
      <c r="P57" s="53"/>
      <c r="Q57" s="21">
        <f t="shared" si="5"/>
        <v>50741360.79</v>
      </c>
      <c r="R57" s="92"/>
      <c r="S57" s="5">
        <v>7</v>
      </c>
      <c r="T57" s="62">
        <v>0</v>
      </c>
    </row>
    <row r="58" spans="1:20" ht="24">
      <c r="A58" s="109"/>
      <c r="B58" s="109"/>
      <c r="C58" s="80" t="s">
        <v>50</v>
      </c>
      <c r="D58" s="24">
        <v>3637374</v>
      </c>
      <c r="E58" s="24">
        <v>0</v>
      </c>
      <c r="F58" s="24">
        <f t="shared" si="4"/>
        <v>3637374</v>
      </c>
      <c r="G58" s="57">
        <v>0</v>
      </c>
      <c r="H58" s="49">
        <f t="shared" si="2"/>
        <v>3637374</v>
      </c>
      <c r="I58" s="24">
        <f t="shared" si="7"/>
        <v>0</v>
      </c>
      <c r="J58" s="26">
        <v>0</v>
      </c>
      <c r="K58" s="27">
        <v>0</v>
      </c>
      <c r="L58" s="27">
        <v>0</v>
      </c>
      <c r="M58" s="27">
        <v>0</v>
      </c>
      <c r="N58" s="26">
        <f>(D58*0.5)/0.5</f>
        <v>3637374</v>
      </c>
      <c r="O58" s="26">
        <f>F58+H58</f>
        <v>7274748</v>
      </c>
      <c r="P58" s="53"/>
      <c r="Q58" s="21">
        <f t="shared" si="6"/>
        <v>3382757.82</v>
      </c>
      <c r="R58" s="92"/>
      <c r="S58" s="5">
        <v>7</v>
      </c>
      <c r="T58" s="62">
        <v>0</v>
      </c>
    </row>
    <row r="59" spans="1:20" ht="24">
      <c r="A59" s="108" t="s">
        <v>79</v>
      </c>
      <c r="B59" s="108" t="s">
        <v>74</v>
      </c>
      <c r="C59" s="78" t="s">
        <v>49</v>
      </c>
      <c r="D59" s="26">
        <v>121632462</v>
      </c>
      <c r="E59" s="26">
        <v>0</v>
      </c>
      <c r="F59" s="24">
        <f t="shared" si="4"/>
        <v>121632462</v>
      </c>
      <c r="G59" s="57">
        <v>0</v>
      </c>
      <c r="H59" s="49">
        <f t="shared" si="2"/>
        <v>30408115</v>
      </c>
      <c r="I59" s="24">
        <f t="shared" si="7"/>
        <v>0</v>
      </c>
      <c r="J59" s="26">
        <v>0</v>
      </c>
      <c r="K59" s="57">
        <v>0</v>
      </c>
      <c r="L59" s="57">
        <v>0</v>
      </c>
      <c r="M59" s="57">
        <v>0</v>
      </c>
      <c r="N59" s="26">
        <v>30408115</v>
      </c>
      <c r="O59" s="26">
        <f>F59+H59</f>
        <v>152040577</v>
      </c>
      <c r="P59" s="53"/>
      <c r="Q59" s="21">
        <f t="shared" si="5"/>
        <v>113118189.66</v>
      </c>
      <c r="R59" s="92"/>
      <c r="S59" s="5">
        <v>7</v>
      </c>
      <c r="T59" s="62">
        <v>0</v>
      </c>
    </row>
    <row r="60" spans="1:20" ht="24">
      <c r="A60" s="108"/>
      <c r="B60" s="108"/>
      <c r="C60" s="78" t="s">
        <v>50</v>
      </c>
      <c r="D60" s="26">
        <v>8108831</v>
      </c>
      <c r="E60" s="26">
        <v>0</v>
      </c>
      <c r="F60" s="26">
        <f t="shared" si="4"/>
        <v>8108831</v>
      </c>
      <c r="G60" s="27">
        <v>0</v>
      </c>
      <c r="H60" s="49">
        <f>SUM(I60+N60)</f>
        <v>2027207.7500000002</v>
      </c>
      <c r="I60" s="24">
        <f t="shared" si="7"/>
        <v>0</v>
      </c>
      <c r="J60" s="26">
        <v>0</v>
      </c>
      <c r="K60" s="27">
        <v>0</v>
      </c>
      <c r="L60" s="27">
        <v>0</v>
      </c>
      <c r="M60" s="27">
        <v>0</v>
      </c>
      <c r="N60" s="26">
        <f>(D60*0.2)/0.8</f>
        <v>2027207.7500000002</v>
      </c>
      <c r="O60" s="26">
        <f>F60+H60</f>
        <v>10136038.75</v>
      </c>
      <c r="P60" s="53"/>
      <c r="Q60" s="21">
        <f t="shared" si="6"/>
        <v>7541212.83</v>
      </c>
      <c r="R60" s="92"/>
      <c r="S60" s="5">
        <v>7</v>
      </c>
      <c r="T60" s="62">
        <v>0</v>
      </c>
    </row>
    <row r="61" spans="1:20" ht="24">
      <c r="A61" s="108" t="s">
        <v>80</v>
      </c>
      <c r="B61" s="108" t="s">
        <v>74</v>
      </c>
      <c r="C61" s="78" t="s">
        <v>49</v>
      </c>
      <c r="D61" s="26">
        <v>68497151</v>
      </c>
      <c r="E61" s="26">
        <v>0</v>
      </c>
      <c r="F61" s="26">
        <f t="shared" si="4"/>
        <v>68497151</v>
      </c>
      <c r="G61" s="27">
        <v>0</v>
      </c>
      <c r="H61" s="49">
        <f t="shared" si="2"/>
        <v>22832383.666666668</v>
      </c>
      <c r="I61" s="24">
        <f t="shared" si="7"/>
        <v>0</v>
      </c>
      <c r="J61" s="27">
        <v>0</v>
      </c>
      <c r="K61" s="27">
        <v>0</v>
      </c>
      <c r="L61" s="27">
        <v>0</v>
      </c>
      <c r="M61" s="27">
        <v>0</v>
      </c>
      <c r="N61" s="26">
        <f>D61*0.25/0.75</f>
        <v>22832383.666666668</v>
      </c>
      <c r="O61" s="26">
        <f>F61+H61</f>
        <v>91329534.66666667</v>
      </c>
      <c r="P61" s="53"/>
      <c r="Q61" s="21">
        <f t="shared" si="5"/>
        <v>63702350.43</v>
      </c>
      <c r="R61" s="92"/>
      <c r="S61" s="5">
        <v>7</v>
      </c>
      <c r="T61" s="62">
        <v>0</v>
      </c>
    </row>
    <row r="62" spans="1:20" ht="24">
      <c r="A62" s="108"/>
      <c r="B62" s="108"/>
      <c r="C62" s="78" t="s">
        <v>50</v>
      </c>
      <c r="D62" s="26">
        <v>4566477</v>
      </c>
      <c r="E62" s="26">
        <v>0</v>
      </c>
      <c r="F62" s="26">
        <f t="shared" si="4"/>
        <v>4566477</v>
      </c>
      <c r="G62" s="27">
        <v>0</v>
      </c>
      <c r="H62" s="49">
        <f t="shared" si="2"/>
        <v>1522159</v>
      </c>
      <c r="I62" s="24">
        <f t="shared" si="7"/>
        <v>0</v>
      </c>
      <c r="J62" s="27">
        <v>0</v>
      </c>
      <c r="K62" s="27">
        <v>0</v>
      </c>
      <c r="L62" s="27">
        <v>0</v>
      </c>
      <c r="M62" s="27">
        <v>0</v>
      </c>
      <c r="N62" s="26">
        <f>(F62*0.25)/0.75</f>
        <v>1522159</v>
      </c>
      <c r="O62" s="26">
        <f>D62+H62</f>
        <v>6088636</v>
      </c>
      <c r="P62" s="53"/>
      <c r="Q62" s="21">
        <f t="shared" si="6"/>
        <v>4246823.61</v>
      </c>
      <c r="R62" s="92"/>
      <c r="S62" s="5">
        <v>7</v>
      </c>
      <c r="T62" s="62">
        <v>0</v>
      </c>
    </row>
    <row r="63" spans="1:20" ht="24">
      <c r="A63" s="108" t="s">
        <v>81</v>
      </c>
      <c r="B63" s="108" t="s">
        <v>74</v>
      </c>
      <c r="C63" s="78" t="s">
        <v>49</v>
      </c>
      <c r="D63" s="26">
        <v>5721429</v>
      </c>
      <c r="E63" s="26">
        <v>0</v>
      </c>
      <c r="F63" s="26">
        <f t="shared" si="4"/>
        <v>5721429</v>
      </c>
      <c r="G63" s="27">
        <v>0</v>
      </c>
      <c r="H63" s="49">
        <f t="shared" si="2"/>
        <v>5721429</v>
      </c>
      <c r="I63" s="24">
        <f t="shared" si="7"/>
        <v>0</v>
      </c>
      <c r="J63" s="27">
        <v>0</v>
      </c>
      <c r="K63" s="27">
        <v>0</v>
      </c>
      <c r="L63" s="27">
        <v>0</v>
      </c>
      <c r="M63" s="27">
        <v>0</v>
      </c>
      <c r="N63" s="26">
        <f>D63*0.5/0.5</f>
        <v>5721429</v>
      </c>
      <c r="O63" s="26">
        <f>D63+H63</f>
        <v>11442858</v>
      </c>
      <c r="P63" s="53"/>
      <c r="Q63" s="21">
        <f t="shared" si="5"/>
        <v>5320928.97</v>
      </c>
      <c r="R63" s="93"/>
      <c r="S63" s="5">
        <v>7</v>
      </c>
      <c r="T63" s="62">
        <v>0</v>
      </c>
    </row>
    <row r="64" spans="1:20" ht="24">
      <c r="A64" s="108"/>
      <c r="B64" s="108"/>
      <c r="C64" s="78" t="s">
        <v>50</v>
      </c>
      <c r="D64" s="26">
        <f>631905+821635</f>
        <v>1453540</v>
      </c>
      <c r="E64" s="26">
        <v>0</v>
      </c>
      <c r="F64" s="26">
        <f>D64</f>
        <v>1453540</v>
      </c>
      <c r="G64" s="27">
        <v>0</v>
      </c>
      <c r="H64" s="49">
        <f>SUM(I64+N64)</f>
        <v>1453540</v>
      </c>
      <c r="I64" s="24">
        <f t="shared" si="7"/>
        <v>0</v>
      </c>
      <c r="J64" s="27">
        <v>0</v>
      </c>
      <c r="K64" s="27">
        <v>0</v>
      </c>
      <c r="L64" s="27">
        <v>0</v>
      </c>
      <c r="M64" s="27">
        <v>0</v>
      </c>
      <c r="N64" s="26">
        <f>D64*0.5/0.5</f>
        <v>1453540</v>
      </c>
      <c r="O64" s="26">
        <f>D64+H64</f>
        <v>2907080</v>
      </c>
      <c r="P64" s="53"/>
      <c r="Q64" s="21">
        <f t="shared" si="6"/>
        <v>1351792.2</v>
      </c>
      <c r="R64" s="26"/>
      <c r="S64" s="94">
        <v>7</v>
      </c>
      <c r="T64" s="62">
        <v>0</v>
      </c>
    </row>
    <row r="65" spans="1:20" ht="24">
      <c r="A65" s="108" t="s">
        <v>82</v>
      </c>
      <c r="B65" s="108" t="s">
        <v>75</v>
      </c>
      <c r="C65" s="78" t="s">
        <v>49</v>
      </c>
      <c r="D65" s="26">
        <v>1436857813</v>
      </c>
      <c r="E65" s="26">
        <v>0</v>
      </c>
      <c r="F65" s="26">
        <v>1436857813</v>
      </c>
      <c r="G65" s="27">
        <v>0</v>
      </c>
      <c r="H65" s="49">
        <f t="shared" si="2"/>
        <v>595597966.94</v>
      </c>
      <c r="I65" s="24"/>
      <c r="J65" s="27">
        <v>0</v>
      </c>
      <c r="K65" s="27">
        <v>0</v>
      </c>
      <c r="L65" s="27">
        <v>0</v>
      </c>
      <c r="M65" s="27">
        <v>0</v>
      </c>
      <c r="N65" s="26">
        <f>N67+N69+N71</f>
        <v>595597966.94</v>
      </c>
      <c r="O65" s="24">
        <f>O67+O69+O71</f>
        <v>2032455779.94</v>
      </c>
      <c r="P65" s="53"/>
      <c r="Q65" s="21">
        <f t="shared" si="5"/>
        <v>1336277766.09</v>
      </c>
      <c r="R65" s="95"/>
      <c r="S65" s="5">
        <v>7</v>
      </c>
      <c r="T65" s="62">
        <v>0</v>
      </c>
    </row>
    <row r="66" spans="1:20" ht="24">
      <c r="A66" s="108"/>
      <c r="B66" s="108"/>
      <c r="C66" s="78" t="s">
        <v>50</v>
      </c>
      <c r="D66" s="26">
        <f>SUM(D68,D70,D72)</f>
        <v>140947542</v>
      </c>
      <c r="E66" s="26">
        <v>0</v>
      </c>
      <c r="F66" s="26">
        <f>D66</f>
        <v>140947542</v>
      </c>
      <c r="G66" s="27">
        <v>0</v>
      </c>
      <c r="H66" s="49">
        <f t="shared" si="2"/>
        <v>59059540.142857134</v>
      </c>
      <c r="I66" s="24"/>
      <c r="J66" s="27">
        <v>0</v>
      </c>
      <c r="K66" s="27">
        <v>0</v>
      </c>
      <c r="L66" s="27">
        <v>0</v>
      </c>
      <c r="M66" s="27">
        <v>0</v>
      </c>
      <c r="N66" s="26">
        <f>N68+N70+N72</f>
        <v>59059540.142857134</v>
      </c>
      <c r="O66" s="26">
        <f>O68+O70+O72</f>
        <v>200007082.14285713</v>
      </c>
      <c r="P66" s="53"/>
      <c r="Q66" s="21">
        <f t="shared" si="6"/>
        <v>131081214.06</v>
      </c>
      <c r="R66" s="95"/>
      <c r="S66" s="94">
        <v>7</v>
      </c>
      <c r="T66" s="62">
        <v>0</v>
      </c>
    </row>
    <row r="67" spans="1:20" ht="24">
      <c r="A67" s="108" t="s">
        <v>83</v>
      </c>
      <c r="B67" s="108" t="s">
        <v>75</v>
      </c>
      <c r="C67" s="78" t="s">
        <v>49</v>
      </c>
      <c r="D67" s="26">
        <v>943670413</v>
      </c>
      <c r="E67" s="26">
        <v>0</v>
      </c>
      <c r="F67" s="26">
        <f aca="true" t="shared" si="8" ref="F67:F72">D67</f>
        <v>943670413</v>
      </c>
      <c r="G67" s="27">
        <v>0</v>
      </c>
      <c r="H67" s="49">
        <f t="shared" si="2"/>
        <v>404430177</v>
      </c>
      <c r="I67" s="24">
        <f aca="true" t="shared" si="9" ref="I67:I78">SUM(J67:M67)</f>
        <v>0</v>
      </c>
      <c r="J67" s="27">
        <v>0</v>
      </c>
      <c r="K67" s="27">
        <v>0</v>
      </c>
      <c r="L67" s="27">
        <v>0</v>
      </c>
      <c r="M67" s="27">
        <v>0</v>
      </c>
      <c r="N67" s="26">
        <f>(F67*0.3)/0.7</f>
        <v>404430177</v>
      </c>
      <c r="O67" s="26">
        <f>SUM(D67+H67)</f>
        <v>1348100590</v>
      </c>
      <c r="P67" s="53"/>
      <c r="Q67" s="21">
        <f>(D67-((D67*S67))/100)</f>
        <v>877613484.09</v>
      </c>
      <c r="R67" s="92"/>
      <c r="S67" s="94">
        <v>7</v>
      </c>
      <c r="T67" s="62">
        <v>0</v>
      </c>
    </row>
    <row r="68" spans="1:20" ht="24">
      <c r="A68" s="108"/>
      <c r="B68" s="108"/>
      <c r="C68" s="78" t="s">
        <v>50</v>
      </c>
      <c r="D68" s="26">
        <f>104223942-11973180-821635</f>
        <v>91429127</v>
      </c>
      <c r="E68" s="26">
        <v>0</v>
      </c>
      <c r="F68" s="26">
        <f t="shared" si="8"/>
        <v>91429127</v>
      </c>
      <c r="G68" s="27">
        <v>0</v>
      </c>
      <c r="H68" s="49">
        <f>SUM(I68+N68)</f>
        <v>39183911.57142857</v>
      </c>
      <c r="I68" s="24">
        <f t="shared" si="9"/>
        <v>0</v>
      </c>
      <c r="J68" s="27">
        <v>0</v>
      </c>
      <c r="K68" s="27">
        <v>0</v>
      </c>
      <c r="L68" s="27">
        <v>0</v>
      </c>
      <c r="M68" s="27">
        <v>0</v>
      </c>
      <c r="N68" s="26">
        <f>(F68*0.3)/0.7</f>
        <v>39183911.57142857</v>
      </c>
      <c r="O68" s="26">
        <f>SUM(D68+H68)</f>
        <v>130613038.57142857</v>
      </c>
      <c r="P68" s="53"/>
      <c r="Q68" s="21">
        <f t="shared" si="6"/>
        <v>85029088.11</v>
      </c>
      <c r="R68" s="92"/>
      <c r="S68" s="94">
        <v>7</v>
      </c>
      <c r="T68" s="62">
        <v>0</v>
      </c>
    </row>
    <row r="69" spans="1:20" ht="24">
      <c r="A69" s="108" t="s">
        <v>84</v>
      </c>
      <c r="B69" s="108" t="s">
        <v>75</v>
      </c>
      <c r="C69" s="78" t="s">
        <v>49</v>
      </c>
      <c r="D69" s="26">
        <v>380077261</v>
      </c>
      <c r="E69" s="26">
        <v>0</v>
      </c>
      <c r="F69" s="26">
        <f t="shared" si="8"/>
        <v>380077261</v>
      </c>
      <c r="G69" s="27">
        <v>0</v>
      </c>
      <c r="H69" s="49">
        <f t="shared" si="2"/>
        <v>162890254.99</v>
      </c>
      <c r="I69" s="24">
        <f t="shared" si="9"/>
        <v>0</v>
      </c>
      <c r="J69" s="27">
        <v>0</v>
      </c>
      <c r="K69" s="27">
        <v>0</v>
      </c>
      <c r="L69" s="27">
        <v>0</v>
      </c>
      <c r="M69" s="27">
        <v>0</v>
      </c>
      <c r="N69" s="26">
        <v>162890254.99</v>
      </c>
      <c r="O69" s="26">
        <f>D69+H69</f>
        <v>542967515.99</v>
      </c>
      <c r="P69" s="53"/>
      <c r="Q69" s="21">
        <f t="shared" si="5"/>
        <v>353471852.73</v>
      </c>
      <c r="R69" s="92"/>
      <c r="S69" s="5">
        <v>7</v>
      </c>
      <c r="T69" s="62">
        <v>0</v>
      </c>
    </row>
    <row r="70" spans="1:20" ht="24">
      <c r="A70" s="108"/>
      <c r="B70" s="108"/>
      <c r="C70" s="78" t="s">
        <v>50</v>
      </c>
      <c r="D70" s="26">
        <v>41977739</v>
      </c>
      <c r="E70" s="26">
        <v>0</v>
      </c>
      <c r="F70" s="26">
        <f t="shared" si="8"/>
        <v>41977739</v>
      </c>
      <c r="G70" s="27">
        <v>0</v>
      </c>
      <c r="H70" s="49">
        <f t="shared" si="2"/>
        <v>17990459.57142857</v>
      </c>
      <c r="I70" s="24">
        <f t="shared" si="9"/>
        <v>0</v>
      </c>
      <c r="J70" s="27">
        <v>0</v>
      </c>
      <c r="K70" s="27">
        <v>0</v>
      </c>
      <c r="L70" s="27">
        <v>0</v>
      </c>
      <c r="M70" s="27">
        <v>0</v>
      </c>
      <c r="N70" s="26">
        <f>(F70*0.3)/0.7</f>
        <v>17990459.57142857</v>
      </c>
      <c r="O70" s="26">
        <f>D70+H70</f>
        <v>59968198.57142857</v>
      </c>
      <c r="P70" s="53"/>
      <c r="Q70" s="21">
        <f t="shared" si="6"/>
        <v>39039297.27</v>
      </c>
      <c r="R70" s="92"/>
      <c r="S70" s="5">
        <v>7</v>
      </c>
      <c r="T70" s="62">
        <v>0</v>
      </c>
    </row>
    <row r="71" spans="1:20" ht="24">
      <c r="A71" s="108" t="s">
        <v>85</v>
      </c>
      <c r="B71" s="108" t="s">
        <v>75</v>
      </c>
      <c r="C71" s="78" t="s">
        <v>49</v>
      </c>
      <c r="D71" s="26">
        <v>113110139</v>
      </c>
      <c r="E71" s="26">
        <v>0</v>
      </c>
      <c r="F71" s="26">
        <f t="shared" si="8"/>
        <v>113110139</v>
      </c>
      <c r="G71" s="27">
        <v>0</v>
      </c>
      <c r="H71" s="49">
        <f t="shared" si="2"/>
        <v>28277534.95</v>
      </c>
      <c r="I71" s="24">
        <f t="shared" si="9"/>
        <v>0</v>
      </c>
      <c r="J71" s="27">
        <v>0</v>
      </c>
      <c r="K71" s="27">
        <v>0</v>
      </c>
      <c r="L71" s="27">
        <v>0</v>
      </c>
      <c r="M71" s="27">
        <v>0</v>
      </c>
      <c r="N71" s="26">
        <v>28277534.95</v>
      </c>
      <c r="O71" s="26">
        <f>D71+H71</f>
        <v>141387673.95</v>
      </c>
      <c r="P71" s="53"/>
      <c r="Q71" s="21">
        <f t="shared" si="5"/>
        <v>105192429.27</v>
      </c>
      <c r="R71" s="92"/>
      <c r="S71" s="5">
        <v>7</v>
      </c>
      <c r="T71" s="62">
        <v>0</v>
      </c>
    </row>
    <row r="72" spans="1:20" ht="24">
      <c r="A72" s="108"/>
      <c r="B72" s="108"/>
      <c r="C72" s="78" t="s">
        <v>50</v>
      </c>
      <c r="D72" s="26">
        <v>7540676</v>
      </c>
      <c r="E72" s="26">
        <v>0</v>
      </c>
      <c r="F72" s="26">
        <f t="shared" si="8"/>
        <v>7540676</v>
      </c>
      <c r="G72" s="27">
        <v>0</v>
      </c>
      <c r="H72" s="49">
        <f>SUM(I72+N72)</f>
        <v>1885169</v>
      </c>
      <c r="I72" s="24">
        <f t="shared" si="9"/>
        <v>0</v>
      </c>
      <c r="J72" s="27">
        <v>0</v>
      </c>
      <c r="K72" s="27">
        <v>0</v>
      </c>
      <c r="L72" s="27">
        <v>0</v>
      </c>
      <c r="M72" s="27">
        <v>0</v>
      </c>
      <c r="N72" s="26">
        <v>1885169</v>
      </c>
      <c r="O72" s="26">
        <f>D72+H72</f>
        <v>9425845</v>
      </c>
      <c r="P72" s="53"/>
      <c r="Q72" s="21">
        <f t="shared" si="6"/>
        <v>7012828.68</v>
      </c>
      <c r="R72" s="92"/>
      <c r="S72" s="5">
        <v>7</v>
      </c>
      <c r="T72" s="62">
        <v>0</v>
      </c>
    </row>
    <row r="73" spans="1:20" ht="24">
      <c r="A73" s="108" t="s">
        <v>86</v>
      </c>
      <c r="B73" s="108" t="s">
        <v>75</v>
      </c>
      <c r="C73" s="78" t="s">
        <v>49</v>
      </c>
      <c r="D73" s="26">
        <v>148811068</v>
      </c>
      <c r="E73" s="26">
        <v>0</v>
      </c>
      <c r="F73" s="26">
        <f>F75+F77+F79</f>
        <v>148811068</v>
      </c>
      <c r="G73" s="27">
        <v>0</v>
      </c>
      <c r="H73" s="49">
        <f>SUM(I73+N73)</f>
        <v>35238811.52291229</v>
      </c>
      <c r="I73" s="24">
        <f t="shared" si="9"/>
        <v>6362206.294117647</v>
      </c>
      <c r="J73" s="26">
        <f>J75+J77</f>
        <v>6362206.294117647</v>
      </c>
      <c r="K73" s="27">
        <v>0</v>
      </c>
      <c r="L73" s="27">
        <v>0</v>
      </c>
      <c r="M73" s="27">
        <v>0</v>
      </c>
      <c r="N73" s="26">
        <f>N79</f>
        <v>28876605.228794646</v>
      </c>
      <c r="O73" s="26">
        <f>O75+O77+O79</f>
        <v>184049879.4111476</v>
      </c>
      <c r="P73" s="53"/>
      <c r="Q73" s="21">
        <f t="shared" si="5"/>
        <v>138394293.24</v>
      </c>
      <c r="R73" s="95"/>
      <c r="S73" s="5">
        <v>7</v>
      </c>
      <c r="T73" s="62">
        <v>0</v>
      </c>
    </row>
    <row r="74" spans="1:20" ht="24">
      <c r="A74" s="108"/>
      <c r="B74" s="108"/>
      <c r="C74" s="78" t="s">
        <v>50</v>
      </c>
      <c r="D74" s="26">
        <f>D76+D78+D80</f>
        <v>25442112</v>
      </c>
      <c r="E74" s="26">
        <v>0</v>
      </c>
      <c r="F74" s="26">
        <f>F76+F78+F80</f>
        <v>25442112</v>
      </c>
      <c r="G74" s="27">
        <v>0</v>
      </c>
      <c r="H74" s="49">
        <f>SUM(I74+N74)</f>
        <v>8253333.19813911</v>
      </c>
      <c r="I74" s="24">
        <f>SUM(J74:M74)</f>
        <v>798152</v>
      </c>
      <c r="J74" s="26">
        <f>J76+J78</f>
        <v>798152</v>
      </c>
      <c r="K74" s="27">
        <v>0</v>
      </c>
      <c r="L74" s="27">
        <v>0</v>
      </c>
      <c r="M74" s="27">
        <v>0</v>
      </c>
      <c r="N74" s="26">
        <f>N80</f>
        <v>7455181.19813911</v>
      </c>
      <c r="O74" s="26">
        <f>O76+O78+O80</f>
        <v>33695445.19813911</v>
      </c>
      <c r="P74" s="53"/>
      <c r="Q74" s="21">
        <f t="shared" si="6"/>
        <v>23661164.16</v>
      </c>
      <c r="R74" s="95"/>
      <c r="S74" s="5">
        <v>7</v>
      </c>
      <c r="T74" s="62">
        <v>0</v>
      </c>
    </row>
    <row r="75" spans="1:20" ht="24">
      <c r="A75" s="108" t="s">
        <v>87</v>
      </c>
      <c r="B75" s="108" t="s">
        <v>75</v>
      </c>
      <c r="C75" s="78" t="s">
        <v>49</v>
      </c>
      <c r="D75" s="26">
        <v>39637500</v>
      </c>
      <c r="E75" s="26">
        <v>0</v>
      </c>
      <c r="F75" s="26">
        <f aca="true" t="shared" si="10" ref="F75:F80">D75</f>
        <v>39637500</v>
      </c>
      <c r="G75" s="27">
        <v>0</v>
      </c>
      <c r="H75" s="49">
        <f>SUM(I75+N75)</f>
        <v>1398971</v>
      </c>
      <c r="I75" s="24">
        <f t="shared" si="9"/>
        <v>1398971</v>
      </c>
      <c r="J75" s="26">
        <v>1398971</v>
      </c>
      <c r="K75" s="27">
        <v>0</v>
      </c>
      <c r="L75" s="27">
        <v>0</v>
      </c>
      <c r="M75" s="27">
        <v>0</v>
      </c>
      <c r="N75" s="26">
        <v>0</v>
      </c>
      <c r="O75" s="26">
        <v>41036470.8882353</v>
      </c>
      <c r="P75" s="53"/>
      <c r="Q75" s="21">
        <f t="shared" si="5"/>
        <v>36862875</v>
      </c>
      <c r="R75" s="92"/>
      <c r="S75" s="5">
        <v>7</v>
      </c>
      <c r="T75" s="62">
        <v>0</v>
      </c>
    </row>
    <row r="76" spans="1:20" ht="24">
      <c r="A76" s="108"/>
      <c r="B76" s="108"/>
      <c r="C76" s="78" t="s">
        <v>50</v>
      </c>
      <c r="D76" s="26">
        <v>2642500</v>
      </c>
      <c r="E76" s="26">
        <v>0</v>
      </c>
      <c r="F76" s="26">
        <f t="shared" si="10"/>
        <v>2642500</v>
      </c>
      <c r="G76" s="27">
        <v>0</v>
      </c>
      <c r="H76" s="26">
        <f>((D76*0.2)*0.2)/0.8</f>
        <v>132125</v>
      </c>
      <c r="I76" s="24">
        <f t="shared" si="9"/>
        <v>132125</v>
      </c>
      <c r="J76" s="26">
        <f>H76</f>
        <v>132125</v>
      </c>
      <c r="K76" s="27">
        <v>0</v>
      </c>
      <c r="L76" s="27">
        <v>0</v>
      </c>
      <c r="M76" s="27">
        <v>0</v>
      </c>
      <c r="N76" s="26">
        <v>0</v>
      </c>
      <c r="O76" s="26">
        <f>F76+H76</f>
        <v>2774625</v>
      </c>
      <c r="P76" s="53"/>
      <c r="Q76" s="21">
        <f t="shared" si="6"/>
        <v>2457525</v>
      </c>
      <c r="R76" s="92"/>
      <c r="S76" s="5">
        <v>7</v>
      </c>
      <c r="T76" s="62">
        <v>0</v>
      </c>
    </row>
    <row r="77" spans="1:20" ht="24">
      <c r="A77" s="108" t="s">
        <v>88</v>
      </c>
      <c r="B77" s="108" t="s">
        <v>75</v>
      </c>
      <c r="C77" s="78" t="s">
        <v>49</v>
      </c>
      <c r="D77" s="26">
        <v>28125000</v>
      </c>
      <c r="E77" s="26">
        <v>0</v>
      </c>
      <c r="F77" s="26">
        <f t="shared" si="10"/>
        <v>28125000</v>
      </c>
      <c r="G77" s="27">
        <v>0</v>
      </c>
      <c r="H77" s="26">
        <f>I77+N77</f>
        <v>4963235.294117647</v>
      </c>
      <c r="I77" s="24">
        <f t="shared" si="9"/>
        <v>4963235.294117647</v>
      </c>
      <c r="J77" s="26">
        <f>(F77*0.15)/0.85</f>
        <v>4963235.294117647</v>
      </c>
      <c r="K77" s="27">
        <v>0</v>
      </c>
      <c r="L77" s="27">
        <v>0</v>
      </c>
      <c r="M77" s="27">
        <v>0</v>
      </c>
      <c r="N77" s="26">
        <v>0</v>
      </c>
      <c r="O77" s="26">
        <f aca="true" t="shared" si="11" ref="O77:O98">D77+H77</f>
        <v>33088235.29411765</v>
      </c>
      <c r="P77" s="53"/>
      <c r="Q77" s="21">
        <f t="shared" si="5"/>
        <v>26156250</v>
      </c>
      <c r="R77" s="92"/>
      <c r="S77" s="5">
        <v>7</v>
      </c>
      <c r="T77" s="62">
        <v>0</v>
      </c>
    </row>
    <row r="78" spans="1:20" ht="24">
      <c r="A78" s="108"/>
      <c r="B78" s="108"/>
      <c r="C78" s="78" t="s">
        <v>50</v>
      </c>
      <c r="D78" s="26">
        <v>1875000</v>
      </c>
      <c r="E78" s="26">
        <v>0</v>
      </c>
      <c r="F78" s="26">
        <f t="shared" si="10"/>
        <v>1875000</v>
      </c>
      <c r="G78" s="27">
        <v>0</v>
      </c>
      <c r="H78" s="26">
        <f>I78+N78</f>
        <v>666027</v>
      </c>
      <c r="I78" s="24">
        <f t="shared" si="9"/>
        <v>666027</v>
      </c>
      <c r="J78" s="26">
        <v>666027</v>
      </c>
      <c r="K78" s="27">
        <v>0</v>
      </c>
      <c r="L78" s="27">
        <v>0</v>
      </c>
      <c r="M78" s="27">
        <v>0</v>
      </c>
      <c r="N78" s="27">
        <v>0</v>
      </c>
      <c r="O78" s="26">
        <f t="shared" si="11"/>
        <v>2541027</v>
      </c>
      <c r="P78" s="53"/>
      <c r="Q78" s="21">
        <f t="shared" si="6"/>
        <v>1743750</v>
      </c>
      <c r="R78" s="92"/>
      <c r="S78" s="5">
        <v>7</v>
      </c>
      <c r="T78" s="62">
        <v>0</v>
      </c>
    </row>
    <row r="79" spans="1:20" ht="24">
      <c r="A79" s="108" t="s">
        <v>89</v>
      </c>
      <c r="B79" s="108" t="s">
        <v>75</v>
      </c>
      <c r="C79" s="78" t="s">
        <v>49</v>
      </c>
      <c r="D79" s="26">
        <v>81048568</v>
      </c>
      <c r="E79" s="26">
        <v>0</v>
      </c>
      <c r="F79" s="48">
        <f t="shared" si="10"/>
        <v>81048568</v>
      </c>
      <c r="G79" s="83">
        <v>0</v>
      </c>
      <c r="H79" s="48">
        <f>I79+N79</f>
        <v>28876605.228794646</v>
      </c>
      <c r="I79" s="96">
        <v>0</v>
      </c>
      <c r="J79" s="97">
        <v>0</v>
      </c>
      <c r="K79" s="83">
        <v>0</v>
      </c>
      <c r="L79" s="83">
        <v>0</v>
      </c>
      <c r="M79" s="83">
        <v>0</v>
      </c>
      <c r="N79" s="48">
        <v>28876605.228794646</v>
      </c>
      <c r="O79" s="48">
        <f>D79+H79</f>
        <v>109925173.22879465</v>
      </c>
      <c r="P79" s="98"/>
      <c r="Q79" s="50">
        <f>(D79-((D79*S79))/100)</f>
        <v>75375168.24</v>
      </c>
      <c r="R79" s="99"/>
      <c r="S79" s="100">
        <v>7</v>
      </c>
      <c r="T79" s="101">
        <v>0</v>
      </c>
    </row>
    <row r="80" spans="1:20" ht="24">
      <c r="A80" s="108"/>
      <c r="B80" s="108"/>
      <c r="C80" s="78" t="s">
        <v>50</v>
      </c>
      <c r="D80" s="26">
        <f>8951432+11973180</f>
        <v>20924612</v>
      </c>
      <c r="E80" s="26">
        <v>0</v>
      </c>
      <c r="F80" s="26">
        <f t="shared" si="10"/>
        <v>20924612</v>
      </c>
      <c r="G80" s="27">
        <v>0</v>
      </c>
      <c r="H80" s="26">
        <f>I80+N80</f>
        <v>7455181.19813911</v>
      </c>
      <c r="I80" s="24">
        <v>0</v>
      </c>
      <c r="J80" s="102">
        <v>0</v>
      </c>
      <c r="K80" s="27">
        <v>0</v>
      </c>
      <c r="L80" s="27">
        <v>0</v>
      </c>
      <c r="M80" s="27">
        <v>0</v>
      </c>
      <c r="N80" s="26">
        <v>7455181.19813911</v>
      </c>
      <c r="O80" s="26">
        <f t="shared" si="11"/>
        <v>28379793.19813911</v>
      </c>
      <c r="P80" s="53"/>
      <c r="Q80" s="26">
        <f t="shared" si="6"/>
        <v>19459889.16</v>
      </c>
      <c r="R80" s="92"/>
      <c r="S80" s="94">
        <v>7</v>
      </c>
      <c r="T80" s="27">
        <v>0</v>
      </c>
    </row>
    <row r="81" spans="1:23" s="131" customFormat="1" ht="24">
      <c r="A81" s="129" t="s">
        <v>90</v>
      </c>
      <c r="B81" s="130" t="s">
        <v>91</v>
      </c>
      <c r="C81" s="78" t="s">
        <v>49</v>
      </c>
      <c r="D81" s="26">
        <f>D83+D93+D95+D97</f>
        <v>1142671364</v>
      </c>
      <c r="E81" s="55">
        <v>0</v>
      </c>
      <c r="F81" s="26">
        <f>F83+F93+F95+F97</f>
        <v>1142671364</v>
      </c>
      <c r="G81" s="27">
        <v>0</v>
      </c>
      <c r="H81" s="26">
        <f>I81+N81</f>
        <v>300919576</v>
      </c>
      <c r="I81" s="24">
        <f aca="true" t="shared" si="12" ref="I81:I102">SUM(J81:M81)</f>
        <v>0</v>
      </c>
      <c r="J81" s="27">
        <v>0</v>
      </c>
      <c r="K81" s="27">
        <v>0</v>
      </c>
      <c r="L81" s="27">
        <v>0</v>
      </c>
      <c r="M81" s="27">
        <v>0</v>
      </c>
      <c r="N81" s="26">
        <f>N83+N93+N95+N97</f>
        <v>300919576</v>
      </c>
      <c r="O81" s="26">
        <f t="shared" si="11"/>
        <v>1443590940</v>
      </c>
      <c r="P81" s="51"/>
      <c r="Q81" s="26">
        <f>SUM(D81-R81)</f>
        <v>1062684369</v>
      </c>
      <c r="R81" s="26">
        <v>79986995</v>
      </c>
      <c r="S81" s="94">
        <f>(R81/D81)*100</f>
        <v>6.999999957993172</v>
      </c>
      <c r="T81" s="27">
        <v>0</v>
      </c>
      <c r="W81" s="132"/>
    </row>
    <row r="82" spans="1:23" s="131" customFormat="1" ht="24">
      <c r="A82" s="129"/>
      <c r="B82" s="130"/>
      <c r="C82" s="78" t="s">
        <v>50</v>
      </c>
      <c r="D82" s="26">
        <f>D84+D94+D96+D98</f>
        <v>80302251</v>
      </c>
      <c r="E82" s="55">
        <v>0</v>
      </c>
      <c r="F82" s="26">
        <f>F84+F94+F96+F98</f>
        <v>80302251</v>
      </c>
      <c r="G82" s="27">
        <v>0</v>
      </c>
      <c r="H82" s="26">
        <f aca="true" t="shared" si="13" ref="H82:H98">I82+N82</f>
        <v>20741944.293461036</v>
      </c>
      <c r="I82" s="24">
        <f t="shared" si="12"/>
        <v>0</v>
      </c>
      <c r="J82" s="27">
        <v>0</v>
      </c>
      <c r="K82" s="27">
        <v>0</v>
      </c>
      <c r="L82" s="27">
        <v>0</v>
      </c>
      <c r="M82" s="27">
        <v>0</v>
      </c>
      <c r="N82" s="26">
        <f>N84+N94+N96+N98</f>
        <v>20741944.293461036</v>
      </c>
      <c r="O82" s="26">
        <f t="shared" si="11"/>
        <v>101044195.29346104</v>
      </c>
      <c r="P82" s="51"/>
      <c r="Q82" s="26">
        <f>$D82-$R82</f>
        <v>74681094</v>
      </c>
      <c r="R82" s="26">
        <v>5621157</v>
      </c>
      <c r="S82" s="94">
        <f>(R82/D82)*100</f>
        <v>6.9999992901817905</v>
      </c>
      <c r="T82" s="27">
        <v>0</v>
      </c>
      <c r="W82" s="132"/>
    </row>
    <row r="83" spans="1:23" ht="24">
      <c r="A83" s="109" t="s">
        <v>92</v>
      </c>
      <c r="B83" s="108" t="s">
        <v>91</v>
      </c>
      <c r="C83" s="78" t="s">
        <v>49</v>
      </c>
      <c r="D83" s="26">
        <f>SUM(D85,D87,D89,D91)</f>
        <v>450559832</v>
      </c>
      <c r="E83" s="55">
        <v>0</v>
      </c>
      <c r="F83" s="26">
        <f>SUM(F85,F87,F89,F91)</f>
        <v>450559832</v>
      </c>
      <c r="G83" s="27">
        <v>0</v>
      </c>
      <c r="H83" s="26">
        <f t="shared" si="13"/>
        <v>195155867</v>
      </c>
      <c r="I83" s="24">
        <f t="shared" si="12"/>
        <v>0</v>
      </c>
      <c r="J83" s="27">
        <v>0</v>
      </c>
      <c r="K83" s="27">
        <v>0</v>
      </c>
      <c r="L83" s="27">
        <v>0</v>
      </c>
      <c r="M83" s="27">
        <v>0</v>
      </c>
      <c r="N83" s="26">
        <f>SUM(N85,N87,N89,N91)</f>
        <v>195155867</v>
      </c>
      <c r="O83" s="26">
        <f t="shared" si="11"/>
        <v>645715699</v>
      </c>
      <c r="P83" s="51"/>
      <c r="Q83" s="26">
        <f>SUM(Q85,Q87,Q89,Q91)</f>
        <v>410686448.59000003</v>
      </c>
      <c r="R83" s="92"/>
      <c r="S83" s="92"/>
      <c r="T83" s="27">
        <v>0</v>
      </c>
      <c r="V83" s="132"/>
      <c r="W83" s="132"/>
    </row>
    <row r="84" spans="1:23" ht="24">
      <c r="A84" s="109"/>
      <c r="B84" s="108"/>
      <c r="C84" s="78" t="s">
        <v>50</v>
      </c>
      <c r="D84" s="26">
        <f>D86+D88+D90+D92</f>
        <v>34990417</v>
      </c>
      <c r="E84" s="55">
        <v>0</v>
      </c>
      <c r="F84" s="26">
        <f>F86+F88+F90+F92</f>
        <v>34990417</v>
      </c>
      <c r="G84" s="27">
        <v>0</v>
      </c>
      <c r="H84" s="26">
        <f t="shared" si="13"/>
        <v>14559343.293461036</v>
      </c>
      <c r="I84" s="24">
        <f t="shared" si="12"/>
        <v>0</v>
      </c>
      <c r="J84" s="27">
        <v>0</v>
      </c>
      <c r="K84" s="27">
        <v>0</v>
      </c>
      <c r="L84" s="27">
        <v>0</v>
      </c>
      <c r="M84" s="27">
        <v>0</v>
      </c>
      <c r="N84" s="26">
        <f>SUM(N86,N88,N90,N92)</f>
        <v>14559343.293461036</v>
      </c>
      <c r="O84" s="26">
        <f t="shared" si="11"/>
        <v>49549760.29346104</v>
      </c>
      <c r="P84" s="51"/>
      <c r="Q84" s="26">
        <f>SUM(Q86,Q88,Q90,Q92)</f>
        <v>31985475.78</v>
      </c>
      <c r="R84" s="92"/>
      <c r="S84" s="92"/>
      <c r="T84" s="27">
        <v>0</v>
      </c>
      <c r="V84" s="132"/>
      <c r="W84" s="132"/>
    </row>
    <row r="85" spans="1:23" ht="24">
      <c r="A85" s="109" t="s">
        <v>100</v>
      </c>
      <c r="B85" s="108" t="s">
        <v>91</v>
      </c>
      <c r="C85" s="78" t="s">
        <v>49</v>
      </c>
      <c r="D85" s="26">
        <v>122495922</v>
      </c>
      <c r="E85" s="55">
        <v>0</v>
      </c>
      <c r="F85" s="26">
        <v>122495922</v>
      </c>
      <c r="G85" s="27">
        <v>0</v>
      </c>
      <c r="H85" s="26">
        <f t="shared" si="13"/>
        <v>89349201</v>
      </c>
      <c r="I85" s="24">
        <f t="shared" si="12"/>
        <v>0</v>
      </c>
      <c r="J85" s="27">
        <v>0</v>
      </c>
      <c r="K85" s="27">
        <v>0</v>
      </c>
      <c r="L85" s="27">
        <v>0</v>
      </c>
      <c r="M85" s="27">
        <v>0</v>
      </c>
      <c r="N85" s="26">
        <v>89349201</v>
      </c>
      <c r="O85" s="26">
        <f t="shared" si="11"/>
        <v>211845123</v>
      </c>
      <c r="P85" s="51"/>
      <c r="Q85" s="26">
        <f>(D85-((D85*S85))/100)</f>
        <v>113921207.46000001</v>
      </c>
      <c r="R85" s="92"/>
      <c r="S85" s="92">
        <v>7</v>
      </c>
      <c r="T85" s="27">
        <v>0</v>
      </c>
      <c r="V85" s="132"/>
      <c r="W85" s="132"/>
    </row>
    <row r="86" spans="1:23" ht="24">
      <c r="A86" s="109"/>
      <c r="B86" s="108"/>
      <c r="C86" s="78" t="s">
        <v>50</v>
      </c>
      <c r="D86" s="26">
        <f>'[1]przesunięcia EUR NCBR'!E8+8573643-238661</f>
        <v>6782822.784649812</v>
      </c>
      <c r="E86" s="26">
        <v>0</v>
      </c>
      <c r="F86" s="26">
        <f>D86</f>
        <v>6782822.784649812</v>
      </c>
      <c r="G86" s="27">
        <v>0</v>
      </c>
      <c r="H86" s="26">
        <f t="shared" si="13"/>
        <v>4949336.153797781</v>
      </c>
      <c r="I86" s="24">
        <f t="shared" si="12"/>
        <v>0</v>
      </c>
      <c r="J86" s="27">
        <v>0</v>
      </c>
      <c r="K86" s="27">
        <v>0</v>
      </c>
      <c r="L86" s="27">
        <v>0</v>
      </c>
      <c r="M86" s="27">
        <v>0</v>
      </c>
      <c r="N86" s="26">
        <f>'[1]krajowe NCBR'!Y86</f>
        <v>4949336.153797781</v>
      </c>
      <c r="O86" s="26">
        <f t="shared" si="11"/>
        <v>11732158.938447593</v>
      </c>
      <c r="P86" s="51"/>
      <c r="Q86" s="26">
        <f aca="true" t="shared" si="14" ref="Q86:Q98">(D86-((D86*S85))/100)</f>
        <v>6308025.189724325</v>
      </c>
      <c r="R86" s="92"/>
      <c r="S86" s="92">
        <v>7</v>
      </c>
      <c r="T86" s="27">
        <v>0</v>
      </c>
      <c r="V86" s="132"/>
      <c r="W86" s="132"/>
    </row>
    <row r="87" spans="1:23" ht="24">
      <c r="A87" s="109" t="s">
        <v>101</v>
      </c>
      <c r="B87" s="108" t="s">
        <v>91</v>
      </c>
      <c r="C87" s="78" t="s">
        <v>49</v>
      </c>
      <c r="D87" s="26">
        <v>91587558</v>
      </c>
      <c r="E87" s="26">
        <v>0</v>
      </c>
      <c r="F87" s="26">
        <v>91587558</v>
      </c>
      <c r="G87" s="27">
        <v>0</v>
      </c>
      <c r="H87" s="26">
        <f t="shared" si="13"/>
        <v>32179412</v>
      </c>
      <c r="I87" s="24">
        <f t="shared" si="12"/>
        <v>0</v>
      </c>
      <c r="J87" s="27">
        <v>0</v>
      </c>
      <c r="K87" s="27">
        <v>0</v>
      </c>
      <c r="L87" s="27">
        <v>0</v>
      </c>
      <c r="M87" s="27">
        <v>0</v>
      </c>
      <c r="N87" s="26">
        <v>32179412</v>
      </c>
      <c r="O87" s="26">
        <f t="shared" si="11"/>
        <v>123766970</v>
      </c>
      <c r="P87" s="51"/>
      <c r="Q87" s="26">
        <f>(D87-((D87*S87))/100)</f>
        <v>85176428.94</v>
      </c>
      <c r="R87" s="92"/>
      <c r="S87" s="92">
        <v>7</v>
      </c>
      <c r="T87" s="27">
        <v>0</v>
      </c>
      <c r="V87" s="132"/>
      <c r="W87" s="132"/>
    </row>
    <row r="88" spans="1:23" ht="24">
      <c r="A88" s="109"/>
      <c r="B88" s="108"/>
      <c r="C88" s="78" t="s">
        <v>50</v>
      </c>
      <c r="D88" s="26">
        <f>'[1]przesunięcia EUR NCBR'!E9+6410328</f>
        <v>7962487.215350188</v>
      </c>
      <c r="E88" s="26">
        <v>0</v>
      </c>
      <c r="F88" s="26">
        <f>D88</f>
        <v>7962487.215350188</v>
      </c>
      <c r="G88" s="27">
        <v>0</v>
      </c>
      <c r="H88" s="26">
        <f t="shared" si="13"/>
        <v>2797630.139663255</v>
      </c>
      <c r="I88" s="24">
        <f t="shared" si="12"/>
        <v>0</v>
      </c>
      <c r="J88" s="27">
        <v>0</v>
      </c>
      <c r="K88" s="27">
        <v>0</v>
      </c>
      <c r="L88" s="27">
        <v>0</v>
      </c>
      <c r="M88" s="27">
        <v>0</v>
      </c>
      <c r="N88" s="26">
        <f>'[1]krajowe NCBR'!Y88</f>
        <v>2797630.139663255</v>
      </c>
      <c r="O88" s="26">
        <f t="shared" si="11"/>
        <v>10760117.355013443</v>
      </c>
      <c r="P88" s="51"/>
      <c r="Q88" s="26">
        <f t="shared" si="14"/>
        <v>7405113.110275675</v>
      </c>
      <c r="R88" s="92"/>
      <c r="S88" s="92">
        <v>7</v>
      </c>
      <c r="T88" s="27">
        <v>0</v>
      </c>
      <c r="V88" s="132"/>
      <c r="W88" s="132"/>
    </row>
    <row r="89" spans="1:23" ht="24">
      <c r="A89" s="127" t="s">
        <v>102</v>
      </c>
      <c r="B89" s="108" t="s">
        <v>91</v>
      </c>
      <c r="C89" s="78" t="s">
        <v>49</v>
      </c>
      <c r="D89" s="26">
        <v>77624588</v>
      </c>
      <c r="E89" s="26">
        <v>0</v>
      </c>
      <c r="F89" s="26">
        <v>77624588</v>
      </c>
      <c r="G89" s="27">
        <v>0</v>
      </c>
      <c r="H89" s="26">
        <f t="shared" si="13"/>
        <v>17814472</v>
      </c>
      <c r="I89" s="52">
        <v>0</v>
      </c>
      <c r="J89" s="27">
        <v>0</v>
      </c>
      <c r="K89" s="27">
        <v>0</v>
      </c>
      <c r="L89" s="27">
        <v>0</v>
      </c>
      <c r="M89" s="27">
        <v>0</v>
      </c>
      <c r="N89" s="26">
        <v>17814472</v>
      </c>
      <c r="O89" s="26">
        <f t="shared" si="11"/>
        <v>95439060</v>
      </c>
      <c r="P89" s="53">
        <v>0.25</v>
      </c>
      <c r="Q89" s="26">
        <f>(D89-((D89*S89))/100)</f>
        <v>72190866.84</v>
      </c>
      <c r="R89" s="92"/>
      <c r="S89" s="92">
        <v>7</v>
      </c>
      <c r="T89" s="27">
        <v>0</v>
      </c>
      <c r="V89" s="132"/>
      <c r="W89" s="132"/>
    </row>
    <row r="90" spans="1:23" ht="24">
      <c r="A90" s="128"/>
      <c r="B90" s="108"/>
      <c r="C90" s="78" t="s">
        <v>50</v>
      </c>
      <c r="D90" s="26">
        <v>5302136</v>
      </c>
      <c r="E90" s="26">
        <v>0</v>
      </c>
      <c r="F90" s="26">
        <v>5302136</v>
      </c>
      <c r="G90" s="27">
        <v>0</v>
      </c>
      <c r="H90" s="26">
        <f t="shared" si="13"/>
        <v>1244446</v>
      </c>
      <c r="I90" s="52">
        <v>0</v>
      </c>
      <c r="J90" s="27">
        <v>0</v>
      </c>
      <c r="K90" s="27">
        <v>0</v>
      </c>
      <c r="L90" s="27">
        <v>0</v>
      </c>
      <c r="M90" s="27">
        <v>0</v>
      </c>
      <c r="N90" s="26">
        <v>1244446</v>
      </c>
      <c r="O90" s="26">
        <f t="shared" si="11"/>
        <v>6546582</v>
      </c>
      <c r="P90" s="53">
        <v>0.25</v>
      </c>
      <c r="Q90" s="26">
        <f t="shared" si="14"/>
        <v>4930986.48</v>
      </c>
      <c r="R90" s="92"/>
      <c r="S90" s="92">
        <v>7</v>
      </c>
      <c r="T90" s="27">
        <v>0</v>
      </c>
      <c r="V90" s="132"/>
      <c r="W90" s="132"/>
    </row>
    <row r="91" spans="1:23" ht="24">
      <c r="A91" s="109" t="s">
        <v>103</v>
      </c>
      <c r="B91" s="108" t="s">
        <v>91</v>
      </c>
      <c r="C91" s="78" t="s">
        <v>49</v>
      </c>
      <c r="D91" s="26">
        <v>158851764</v>
      </c>
      <c r="E91" s="26">
        <v>0</v>
      </c>
      <c r="F91" s="26">
        <v>158851764</v>
      </c>
      <c r="G91" s="27">
        <v>0</v>
      </c>
      <c r="H91" s="26">
        <f t="shared" si="13"/>
        <v>55812782</v>
      </c>
      <c r="I91" s="52">
        <v>0</v>
      </c>
      <c r="J91" s="27">
        <v>0</v>
      </c>
      <c r="K91" s="27">
        <v>0</v>
      </c>
      <c r="L91" s="27">
        <v>0</v>
      </c>
      <c r="M91" s="27">
        <v>0</v>
      </c>
      <c r="N91" s="26">
        <v>55812782</v>
      </c>
      <c r="O91" s="26">
        <f t="shared" si="11"/>
        <v>214664546</v>
      </c>
      <c r="P91" s="53"/>
      <c r="Q91" s="26">
        <v>139397945.35000002</v>
      </c>
      <c r="R91" s="92"/>
      <c r="S91" s="92">
        <v>7</v>
      </c>
      <c r="T91" s="27">
        <v>0</v>
      </c>
      <c r="V91" s="132"/>
      <c r="W91" s="132"/>
    </row>
    <row r="92" spans="1:23" ht="24">
      <c r="A92" s="109"/>
      <c r="B92" s="108"/>
      <c r="C92" s="78" t="s">
        <v>50</v>
      </c>
      <c r="D92" s="26">
        <v>14942971</v>
      </c>
      <c r="E92" s="26">
        <v>0</v>
      </c>
      <c r="F92" s="26">
        <v>14942971</v>
      </c>
      <c r="G92" s="27">
        <v>0</v>
      </c>
      <c r="H92" s="26">
        <f t="shared" si="13"/>
        <v>5567931</v>
      </c>
      <c r="I92" s="52">
        <v>0</v>
      </c>
      <c r="J92" s="27">
        <v>0</v>
      </c>
      <c r="K92" s="27">
        <v>0</v>
      </c>
      <c r="L92" s="27">
        <v>0</v>
      </c>
      <c r="M92" s="27">
        <v>0</v>
      </c>
      <c r="N92" s="26">
        <v>5567931</v>
      </c>
      <c r="O92" s="26">
        <f t="shared" si="11"/>
        <v>20510902</v>
      </c>
      <c r="P92" s="53"/>
      <c r="Q92" s="26">
        <v>13341351</v>
      </c>
      <c r="R92" s="92"/>
      <c r="S92" s="92">
        <v>7</v>
      </c>
      <c r="T92" s="27">
        <v>0</v>
      </c>
      <c r="V92" s="132"/>
      <c r="W92" s="132"/>
    </row>
    <row r="93" spans="1:23" ht="24">
      <c r="A93" s="109" t="s">
        <v>93</v>
      </c>
      <c r="B93" s="108" t="s">
        <v>91</v>
      </c>
      <c r="C93" s="78" t="s">
        <v>49</v>
      </c>
      <c r="D93" s="26">
        <f>423054837-3579909</f>
        <v>419474928</v>
      </c>
      <c r="E93" s="26">
        <v>0</v>
      </c>
      <c r="F93" s="26">
        <f>+D93</f>
        <v>419474928</v>
      </c>
      <c r="G93" s="27">
        <v>0</v>
      </c>
      <c r="H93" s="26">
        <f t="shared" si="13"/>
        <v>105763709</v>
      </c>
      <c r="I93" s="24">
        <f t="shared" si="12"/>
        <v>0</v>
      </c>
      <c r="J93" s="27">
        <v>0</v>
      </c>
      <c r="K93" s="27">
        <v>0</v>
      </c>
      <c r="L93" s="27">
        <v>0</v>
      </c>
      <c r="M93" s="27">
        <v>0</v>
      </c>
      <c r="N93" s="26">
        <v>105763709</v>
      </c>
      <c r="O93" s="26">
        <f t="shared" si="11"/>
        <v>525238637</v>
      </c>
      <c r="P93" s="27"/>
      <c r="Q93" s="26">
        <v>379361315.93</v>
      </c>
      <c r="R93" s="92"/>
      <c r="S93" s="92">
        <v>7</v>
      </c>
      <c r="T93" s="27">
        <v>0</v>
      </c>
      <c r="V93" s="132"/>
      <c r="W93" s="132"/>
    </row>
    <row r="94" spans="1:23" ht="24">
      <c r="A94" s="109"/>
      <c r="B94" s="108"/>
      <c r="C94" s="78" t="s">
        <v>50</v>
      </c>
      <c r="D94" s="26">
        <v>27136060</v>
      </c>
      <c r="E94" s="26">
        <v>0</v>
      </c>
      <c r="F94" s="26">
        <v>27136060</v>
      </c>
      <c r="G94" s="27">
        <v>0</v>
      </c>
      <c r="H94" s="26">
        <f t="shared" si="13"/>
        <v>6182601</v>
      </c>
      <c r="I94" s="24">
        <f t="shared" si="12"/>
        <v>0</v>
      </c>
      <c r="J94" s="27">
        <v>0</v>
      </c>
      <c r="K94" s="27">
        <v>0</v>
      </c>
      <c r="L94" s="27">
        <v>0</v>
      </c>
      <c r="M94" s="27">
        <v>0</v>
      </c>
      <c r="N94" s="26">
        <v>6182601</v>
      </c>
      <c r="O94" s="26">
        <f t="shared" si="11"/>
        <v>33318661</v>
      </c>
      <c r="P94" s="27"/>
      <c r="Q94" s="26">
        <v>24519844.650000002</v>
      </c>
      <c r="R94" s="92"/>
      <c r="S94" s="92">
        <v>7</v>
      </c>
      <c r="T94" s="27">
        <v>0</v>
      </c>
      <c r="V94" s="132"/>
      <c r="W94" s="132"/>
    </row>
    <row r="95" spans="1:23" ht="24">
      <c r="A95" s="109" t="s">
        <v>94</v>
      </c>
      <c r="B95" s="108" t="s">
        <v>91</v>
      </c>
      <c r="C95" s="78" t="s">
        <v>49</v>
      </c>
      <c r="D95" s="26">
        <v>119059931</v>
      </c>
      <c r="E95" s="26">
        <v>0</v>
      </c>
      <c r="F95" s="26">
        <v>119059931</v>
      </c>
      <c r="G95" s="27">
        <v>0</v>
      </c>
      <c r="H95" s="26">
        <f t="shared" si="13"/>
        <v>0</v>
      </c>
      <c r="I95" s="24">
        <f t="shared" si="12"/>
        <v>0</v>
      </c>
      <c r="J95" s="27">
        <v>0</v>
      </c>
      <c r="K95" s="27">
        <v>0</v>
      </c>
      <c r="L95" s="27">
        <v>0</v>
      </c>
      <c r="M95" s="27">
        <v>0</v>
      </c>
      <c r="N95" s="26">
        <v>0</v>
      </c>
      <c r="O95" s="26">
        <f t="shared" si="11"/>
        <v>119059931</v>
      </c>
      <c r="P95" s="53">
        <v>0.3</v>
      </c>
      <c r="Q95" s="26">
        <v>119059931</v>
      </c>
      <c r="R95" s="92"/>
      <c r="S95" s="92"/>
      <c r="T95" s="27">
        <v>0</v>
      </c>
      <c r="V95" s="132"/>
      <c r="W95" s="132"/>
    </row>
    <row r="96" spans="1:23" ht="24">
      <c r="A96" s="109"/>
      <c r="B96" s="108"/>
      <c r="C96" s="78" t="s">
        <v>50</v>
      </c>
      <c r="D96" s="26">
        <v>7937329</v>
      </c>
      <c r="E96" s="26">
        <v>0</v>
      </c>
      <c r="F96" s="26">
        <v>7937329</v>
      </c>
      <c r="G96" s="27">
        <v>0</v>
      </c>
      <c r="H96" s="26">
        <f t="shared" si="13"/>
        <v>0</v>
      </c>
      <c r="I96" s="24">
        <f t="shared" si="12"/>
        <v>0</v>
      </c>
      <c r="J96" s="27">
        <v>0</v>
      </c>
      <c r="K96" s="27">
        <v>0</v>
      </c>
      <c r="L96" s="27">
        <v>0</v>
      </c>
      <c r="M96" s="27">
        <v>0</v>
      </c>
      <c r="N96" s="26">
        <v>0</v>
      </c>
      <c r="O96" s="26">
        <f t="shared" si="11"/>
        <v>7937329</v>
      </c>
      <c r="P96" s="53">
        <v>0.3</v>
      </c>
      <c r="Q96" s="26">
        <f t="shared" si="14"/>
        <v>7937329</v>
      </c>
      <c r="R96" s="92"/>
      <c r="S96" s="92"/>
      <c r="T96" s="27">
        <v>0</v>
      </c>
      <c r="V96" s="132"/>
      <c r="W96" s="132"/>
    </row>
    <row r="97" spans="1:23" ht="24">
      <c r="A97" s="109" t="s">
        <v>95</v>
      </c>
      <c r="B97" s="108" t="s">
        <v>91</v>
      </c>
      <c r="C97" s="78" t="s">
        <v>49</v>
      </c>
      <c r="D97" s="26">
        <f>149996764+3579909</f>
        <v>153576673</v>
      </c>
      <c r="E97" s="26">
        <v>0</v>
      </c>
      <c r="F97" s="26">
        <f>+D97</f>
        <v>153576673</v>
      </c>
      <c r="G97" s="27">
        <v>0</v>
      </c>
      <c r="H97" s="26">
        <f t="shared" si="13"/>
        <v>0</v>
      </c>
      <c r="I97" s="24">
        <f t="shared" si="12"/>
        <v>0</v>
      </c>
      <c r="J97" s="27">
        <v>0</v>
      </c>
      <c r="K97" s="27">
        <v>0</v>
      </c>
      <c r="L97" s="27">
        <v>0</v>
      </c>
      <c r="M97" s="27">
        <v>0</v>
      </c>
      <c r="N97" s="26">
        <v>0</v>
      </c>
      <c r="O97" s="26">
        <f t="shared" si="11"/>
        <v>153576673</v>
      </c>
      <c r="P97" s="53">
        <v>0.3</v>
      </c>
      <c r="Q97" s="26">
        <f t="shared" si="14"/>
        <v>153576673</v>
      </c>
      <c r="R97" s="92"/>
      <c r="S97" s="92"/>
      <c r="T97" s="27">
        <v>0</v>
      </c>
      <c r="V97" s="132"/>
      <c r="W97" s="132"/>
    </row>
    <row r="98" spans="1:23" ht="24">
      <c r="A98" s="109"/>
      <c r="B98" s="108"/>
      <c r="C98" s="78" t="s">
        <v>50</v>
      </c>
      <c r="D98" s="26">
        <f>9999784+238661</f>
        <v>10238445</v>
      </c>
      <c r="E98" s="26">
        <v>0</v>
      </c>
      <c r="F98" s="26">
        <f>+D98</f>
        <v>10238445</v>
      </c>
      <c r="G98" s="27">
        <v>0</v>
      </c>
      <c r="H98" s="26">
        <f t="shared" si="13"/>
        <v>0</v>
      </c>
      <c r="I98" s="24">
        <f t="shared" si="12"/>
        <v>0</v>
      </c>
      <c r="J98" s="27">
        <v>0</v>
      </c>
      <c r="K98" s="27">
        <v>0</v>
      </c>
      <c r="L98" s="27">
        <v>0</v>
      </c>
      <c r="M98" s="27">
        <v>0</v>
      </c>
      <c r="N98" s="26">
        <v>0</v>
      </c>
      <c r="O98" s="26">
        <f t="shared" si="11"/>
        <v>10238445</v>
      </c>
      <c r="P98" s="53">
        <v>0.3</v>
      </c>
      <c r="Q98" s="26">
        <f t="shared" si="14"/>
        <v>10238445</v>
      </c>
      <c r="R98" s="92"/>
      <c r="S98" s="92"/>
      <c r="T98" s="27">
        <v>0</v>
      </c>
      <c r="V98" s="132"/>
      <c r="W98" s="132"/>
    </row>
    <row r="99" spans="1:23" ht="24">
      <c r="A99" s="114" t="s">
        <v>96</v>
      </c>
      <c r="B99" s="117" t="s">
        <v>97</v>
      </c>
      <c r="C99" s="63" t="s">
        <v>49</v>
      </c>
      <c r="D99" s="26">
        <v>276204661</v>
      </c>
      <c r="E99" s="26">
        <v>0</v>
      </c>
      <c r="F99" s="26">
        <v>276204661</v>
      </c>
      <c r="G99" s="27">
        <v>0</v>
      </c>
      <c r="H99" s="26">
        <f aca="true" t="shared" si="15" ref="H99:H104">I99+N99</f>
        <v>48741999</v>
      </c>
      <c r="I99" s="24">
        <f t="shared" si="12"/>
        <v>48741999</v>
      </c>
      <c r="J99" s="26">
        <v>48741999</v>
      </c>
      <c r="K99" s="27">
        <v>0</v>
      </c>
      <c r="L99" s="27">
        <v>0</v>
      </c>
      <c r="M99" s="27">
        <v>0</v>
      </c>
      <c r="N99" s="26">
        <v>0</v>
      </c>
      <c r="O99" s="26">
        <f>D99+H99</f>
        <v>324946660</v>
      </c>
      <c r="P99" s="27"/>
      <c r="Q99" s="26">
        <v>276204661</v>
      </c>
      <c r="R99" s="26">
        <v>0</v>
      </c>
      <c r="S99" s="27"/>
      <c r="T99" s="27">
        <v>0</v>
      </c>
      <c r="V99" s="133"/>
      <c r="W99" s="131"/>
    </row>
    <row r="100" spans="1:23" ht="24">
      <c r="A100" s="114"/>
      <c r="B100" s="117"/>
      <c r="C100" s="77" t="s">
        <v>50</v>
      </c>
      <c r="D100" s="26">
        <v>20789598</v>
      </c>
      <c r="E100" s="26">
        <v>0</v>
      </c>
      <c r="F100" s="26">
        <v>20789598</v>
      </c>
      <c r="G100" s="27">
        <v>0</v>
      </c>
      <c r="H100" s="26">
        <f t="shared" si="15"/>
        <v>5197400</v>
      </c>
      <c r="I100" s="24">
        <f t="shared" si="12"/>
        <v>5197400</v>
      </c>
      <c r="J100" s="26">
        <v>5197400</v>
      </c>
      <c r="K100" s="27">
        <v>0</v>
      </c>
      <c r="L100" s="27">
        <v>0</v>
      </c>
      <c r="M100" s="27">
        <v>0</v>
      </c>
      <c r="N100" s="26">
        <v>0</v>
      </c>
      <c r="O100" s="26">
        <f>D100+H100</f>
        <v>25986998</v>
      </c>
      <c r="P100" s="27"/>
      <c r="Q100" s="26">
        <f>D100</f>
        <v>20789598</v>
      </c>
      <c r="R100" s="26">
        <v>0</v>
      </c>
      <c r="S100" s="27"/>
      <c r="T100" s="27">
        <v>0</v>
      </c>
      <c r="V100" s="133"/>
      <c r="W100" s="132"/>
    </row>
    <row r="101" spans="1:23" ht="24">
      <c r="A101" s="116" t="s">
        <v>98</v>
      </c>
      <c r="B101" s="116" t="s">
        <v>97</v>
      </c>
      <c r="C101" s="63" t="s">
        <v>49</v>
      </c>
      <c r="D101" s="26">
        <v>276204661</v>
      </c>
      <c r="E101" s="26">
        <v>0</v>
      </c>
      <c r="F101" s="26">
        <v>276204661</v>
      </c>
      <c r="G101" s="27">
        <v>0</v>
      </c>
      <c r="H101" s="26">
        <f t="shared" si="15"/>
        <v>48741999</v>
      </c>
      <c r="I101" s="24">
        <f t="shared" si="12"/>
        <v>48741999</v>
      </c>
      <c r="J101" s="26">
        <v>48741999</v>
      </c>
      <c r="K101" s="27">
        <v>0</v>
      </c>
      <c r="L101" s="27">
        <v>0</v>
      </c>
      <c r="M101" s="27">
        <v>0</v>
      </c>
      <c r="N101" s="26">
        <v>0</v>
      </c>
      <c r="O101" s="26">
        <f>D101+H101</f>
        <v>324946660</v>
      </c>
      <c r="P101" s="27"/>
      <c r="Q101" s="27"/>
      <c r="R101" s="79"/>
      <c r="S101" s="79"/>
      <c r="T101" s="27">
        <v>0</v>
      </c>
      <c r="V101" s="133"/>
      <c r="W101" s="132"/>
    </row>
    <row r="102" spans="1:20" ht="24">
      <c r="A102" s="116"/>
      <c r="B102" s="116"/>
      <c r="C102" s="63" t="s">
        <v>50</v>
      </c>
      <c r="D102" s="26">
        <v>20789598</v>
      </c>
      <c r="E102" s="26">
        <v>0</v>
      </c>
      <c r="F102" s="26">
        <v>20789598</v>
      </c>
      <c r="G102" s="27">
        <v>0</v>
      </c>
      <c r="H102" s="26">
        <f t="shared" si="15"/>
        <v>5197400</v>
      </c>
      <c r="I102" s="24">
        <f t="shared" si="12"/>
        <v>5197400</v>
      </c>
      <c r="J102" s="26">
        <v>5197400</v>
      </c>
      <c r="K102" s="27">
        <v>0</v>
      </c>
      <c r="L102" s="27">
        <v>0</v>
      </c>
      <c r="M102" s="27">
        <v>0</v>
      </c>
      <c r="N102" s="26">
        <v>0</v>
      </c>
      <c r="O102" s="26">
        <f>D102+H102</f>
        <v>25986998</v>
      </c>
      <c r="P102" s="27"/>
      <c r="Q102" s="27"/>
      <c r="R102" s="79"/>
      <c r="S102" s="79"/>
      <c r="T102" s="27">
        <v>0</v>
      </c>
    </row>
    <row r="103" spans="1:20" ht="24">
      <c r="A103" s="108" t="s">
        <v>99</v>
      </c>
      <c r="B103" s="108" t="s">
        <v>97</v>
      </c>
      <c r="C103" s="78" t="s">
        <v>49</v>
      </c>
      <c r="D103" s="26">
        <f>SUM(D7,D23,D49,D51,D81,D99)</f>
        <v>7854565382</v>
      </c>
      <c r="E103" s="26">
        <v>0</v>
      </c>
      <c r="F103" s="26">
        <f>SUM(F7,F23,F49,F51,F81,F99)</f>
        <v>7854565381.75698</v>
      </c>
      <c r="G103" s="27">
        <v>0</v>
      </c>
      <c r="H103" s="26">
        <f t="shared" si="15"/>
        <v>3514162970.2827945</v>
      </c>
      <c r="I103" s="26">
        <f>SUM(I7,I23,I49,I51,I81,I99)</f>
        <v>60274242.5882353</v>
      </c>
      <c r="J103" s="26">
        <f aca="true" t="shared" si="16" ref="I103:O104">SUM(J7,J23,J49,J51,J81,J99)</f>
        <v>60274242.5882353</v>
      </c>
      <c r="K103" s="26">
        <f t="shared" si="16"/>
        <v>0</v>
      </c>
      <c r="L103" s="26">
        <f t="shared" si="16"/>
        <v>0</v>
      </c>
      <c r="M103" s="26">
        <f t="shared" si="16"/>
        <v>0</v>
      </c>
      <c r="N103" s="26">
        <f t="shared" si="16"/>
        <v>3453888727.694559</v>
      </c>
      <c r="O103" s="26">
        <f t="shared" si="16"/>
        <v>11368728352.282795</v>
      </c>
      <c r="P103" s="27"/>
      <c r="Q103" s="26">
        <f>SUM(Q7,Q23,Q49,Q51,Q81,Q99)</f>
        <v>7383291460</v>
      </c>
      <c r="R103" s="24">
        <f>SUM(R7,R23,R49,R51,R81,R99)</f>
        <v>471273922</v>
      </c>
      <c r="S103" s="25">
        <f>(R103/D103)*100</f>
        <v>5.999999988287067</v>
      </c>
      <c r="T103" s="27">
        <v>0</v>
      </c>
    </row>
    <row r="104" spans="1:20" ht="24">
      <c r="A104" s="108"/>
      <c r="B104" s="108"/>
      <c r="C104" s="78" t="s">
        <v>50</v>
      </c>
      <c r="D104" s="26">
        <f>SUM(D8,D24,D50,D52,D82,D100)</f>
        <v>759363632</v>
      </c>
      <c r="E104" s="26">
        <v>0</v>
      </c>
      <c r="F104" s="26">
        <f>SUM(F8,F24,F50,F52,F82,F100)</f>
        <v>759363632</v>
      </c>
      <c r="G104" s="27">
        <v>0</v>
      </c>
      <c r="H104" s="26">
        <f t="shared" si="15"/>
        <v>346393700.13659716</v>
      </c>
      <c r="I104" s="26">
        <f t="shared" si="16"/>
        <v>6483833</v>
      </c>
      <c r="J104" s="26">
        <f t="shared" si="16"/>
        <v>6483833</v>
      </c>
      <c r="K104" s="26">
        <f t="shared" si="16"/>
        <v>0</v>
      </c>
      <c r="L104" s="26">
        <f t="shared" si="16"/>
        <v>0</v>
      </c>
      <c r="M104" s="26">
        <f t="shared" si="16"/>
        <v>0</v>
      </c>
      <c r="N104" s="26">
        <f t="shared" si="16"/>
        <v>339909867.13659716</v>
      </c>
      <c r="O104" s="26">
        <f t="shared" si="16"/>
        <v>1105757332.1365972</v>
      </c>
      <c r="P104" s="27"/>
      <c r="Q104" s="26">
        <f>SUM(Q8,Q24,Q50,Q52,Q82,Q100)</f>
        <v>713801812.5682209</v>
      </c>
      <c r="R104" s="24">
        <f>SUM(R8,R24,R50,R52,R82,R100)</f>
        <v>45561818</v>
      </c>
      <c r="S104" s="25">
        <f>(R104/D104)*100</f>
        <v>6.000000010535137</v>
      </c>
      <c r="T104" s="27">
        <v>0</v>
      </c>
    </row>
    <row r="107" spans="4:17" ht="15">
      <c r="D107" s="104"/>
      <c r="O107" s="105"/>
      <c r="P107" s="105"/>
      <c r="Q107" s="105"/>
    </row>
    <row r="108" spans="4:17" ht="15">
      <c r="D108" s="104"/>
      <c r="O108" s="106"/>
      <c r="P108" s="105"/>
      <c r="Q108" s="107"/>
    </row>
    <row r="109" spans="15:17" ht="15">
      <c r="O109" s="106"/>
      <c r="P109" s="105"/>
      <c r="Q109" s="107"/>
    </row>
    <row r="110" spans="15:17" ht="15">
      <c r="O110" s="105"/>
      <c r="P110" s="105"/>
      <c r="Q110" s="105"/>
    </row>
    <row r="111" spans="15:18" ht="15">
      <c r="O111" s="105"/>
      <c r="P111" s="105"/>
      <c r="Q111" s="107"/>
      <c r="R111" s="104"/>
    </row>
    <row r="112" spans="15:19" ht="15">
      <c r="O112" s="104"/>
      <c r="Q112" s="104"/>
      <c r="S112" s="104"/>
    </row>
    <row r="113" spans="15:19" ht="15">
      <c r="O113" s="104"/>
      <c r="Q113" s="104"/>
      <c r="S113" s="104"/>
    </row>
  </sheetData>
  <sheetProtection/>
  <mergeCells count="103">
    <mergeCell ref="I3:M3"/>
    <mergeCell ref="N3:N4"/>
    <mergeCell ref="O3:O4"/>
    <mergeCell ref="P3:P4"/>
    <mergeCell ref="S3:S4"/>
    <mergeCell ref="T3:T4"/>
    <mergeCell ref="A7:A8"/>
    <mergeCell ref="B7:B8"/>
    <mergeCell ref="A3:A4"/>
    <mergeCell ref="B3:B6"/>
    <mergeCell ref="C3:C6"/>
    <mergeCell ref="D3:G3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2"/>
    <mergeCell ref="B49:B50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1:A72"/>
    <mergeCell ref="B71:B72"/>
    <mergeCell ref="A73:A74"/>
    <mergeCell ref="B73:B74"/>
    <mergeCell ref="A75:A76"/>
    <mergeCell ref="B75:B76"/>
    <mergeCell ref="A77:A78"/>
    <mergeCell ref="B77:B78"/>
    <mergeCell ref="A79:A80"/>
    <mergeCell ref="B79:B80"/>
    <mergeCell ref="A81:A82"/>
    <mergeCell ref="B81:B82"/>
    <mergeCell ref="A83:A84"/>
    <mergeCell ref="B83:B84"/>
    <mergeCell ref="A85:A86"/>
    <mergeCell ref="B85:B86"/>
    <mergeCell ref="A87:A88"/>
    <mergeCell ref="B87:B88"/>
    <mergeCell ref="A89:A90"/>
    <mergeCell ref="B89:B90"/>
    <mergeCell ref="A91:A92"/>
    <mergeCell ref="B91:B92"/>
    <mergeCell ref="A93:A94"/>
    <mergeCell ref="B93:B94"/>
    <mergeCell ref="A95:A96"/>
    <mergeCell ref="B95:B96"/>
    <mergeCell ref="A97:A98"/>
    <mergeCell ref="B97:B98"/>
    <mergeCell ref="A99:A100"/>
    <mergeCell ref="B99:B100"/>
    <mergeCell ref="A101:A102"/>
    <mergeCell ref="B101:B102"/>
    <mergeCell ref="A103:A104"/>
    <mergeCell ref="B103:B10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Kacperski</dc:creator>
  <cp:keywords/>
  <dc:description/>
  <cp:lastModifiedBy>Lukasz Małecki</cp:lastModifiedBy>
  <cp:lastPrinted>2018-02-07T11:39:23Z</cp:lastPrinted>
  <dcterms:created xsi:type="dcterms:W3CDTF">2018-02-07T10:35:24Z</dcterms:created>
  <dcterms:modified xsi:type="dcterms:W3CDTF">2018-02-19T11:18:24Z</dcterms:modified>
  <cp:category/>
  <cp:version/>
  <cp:contentType/>
  <cp:contentStatus/>
</cp:coreProperties>
</file>