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6030" windowWidth="28830" windowHeight="6210" firstSheet="6" activeTab="6"/>
  </bookViews>
  <sheets>
    <sheet name="Plan finansowy" sheetId="1" state="hidden" r:id="rId1"/>
    <sheet name="Tabela zobowiązań do SFC" sheetId="2" state="hidden" r:id="rId2"/>
    <sheet name="Tabela zobowiązań - prosta" sheetId="3" state="hidden" r:id="rId3"/>
    <sheet name="Arkusz2" sheetId="4" state="hidden" r:id="rId4"/>
    <sheet name="Kody kategorii interwencji" sheetId="5" state="hidden" r:id="rId5"/>
    <sheet name="matryca logiczna" sheetId="6" state="hidden" r:id="rId6"/>
    <sheet name="Plan finan. SzOOP" sheetId="7" r:id="rId7"/>
    <sheet name="szybka scieżka 1.1.1" sheetId="8" state="hidden" r:id="rId8"/>
    <sheet name="demonstrator 1.1.2" sheetId="9" state="hidden" r:id="rId9"/>
    <sheet name="sektorowe 1.2" sheetId="10" state="hidden" r:id="rId10"/>
  </sheets>
  <calcPr calcId="145621"/>
</workbook>
</file>

<file path=xl/calcChain.xml><?xml version="1.0" encoding="utf-8"?>
<calcChain xmlns="http://schemas.openxmlformats.org/spreadsheetml/2006/main">
  <c r="D110" i="7" l="1"/>
  <c r="Q81" i="7" l="1"/>
  <c r="Q94" i="7"/>
  <c r="Q93" i="7"/>
  <c r="Q80" i="7" l="1"/>
  <c r="Q97" i="7"/>
  <c r="H92" i="7"/>
  <c r="H93" i="7"/>
  <c r="H94" i="7"/>
  <c r="H89" i="7"/>
  <c r="H90" i="7"/>
  <c r="H85" i="7"/>
  <c r="H86" i="7"/>
  <c r="H19" i="7"/>
  <c r="H20" i="7"/>
  <c r="H13" i="7"/>
  <c r="H14" i="7"/>
  <c r="F18" i="7"/>
  <c r="F17" i="7"/>
  <c r="F7" i="7"/>
  <c r="D8" i="7"/>
  <c r="D7" i="7"/>
  <c r="Q52" i="7" l="1"/>
  <c r="O79" i="7"/>
  <c r="H79" i="7"/>
  <c r="N73" i="7"/>
  <c r="N52" i="7"/>
  <c r="H52" i="7"/>
  <c r="O52" i="7" l="1"/>
  <c r="H74" i="7"/>
  <c r="H73" i="7"/>
  <c r="N51" i="7"/>
  <c r="O51" i="7"/>
  <c r="J52" i="7"/>
  <c r="I52" i="7"/>
  <c r="F52" i="7"/>
  <c r="N66" i="7"/>
  <c r="F66" i="7"/>
  <c r="D66" i="7"/>
  <c r="D68" i="7"/>
  <c r="D52" i="7"/>
  <c r="D51" i="7"/>
  <c r="H80" i="7"/>
  <c r="N74" i="7"/>
  <c r="J74" i="7"/>
  <c r="I74" i="7"/>
  <c r="D74" i="7"/>
  <c r="Q79" i="7"/>
  <c r="D80" i="7" l="1"/>
  <c r="D108" i="7" l="1"/>
  <c r="I45" i="7" l="1"/>
  <c r="I46" i="7"/>
  <c r="N21" i="7"/>
  <c r="N22" i="7"/>
  <c r="O89" i="7"/>
  <c r="O90" i="7"/>
  <c r="H91" i="7"/>
  <c r="O91" i="7" s="1"/>
  <c r="O92" i="7"/>
  <c r="N84" i="7"/>
  <c r="N82" i="7" s="1"/>
  <c r="F84" i="7"/>
  <c r="F82" i="7" s="1"/>
  <c r="F83" i="7"/>
  <c r="F81" i="7" s="1"/>
  <c r="Q98" i="7"/>
  <c r="Q96" i="7"/>
  <c r="Q95" i="7"/>
  <c r="Q92" i="7"/>
  <c r="Q91" i="7"/>
  <c r="Q90" i="7"/>
  <c r="Q89" i="7"/>
  <c r="W90" i="7" s="1"/>
  <c r="Q88" i="7"/>
  <c r="Q87" i="7"/>
  <c r="W88" i="7" s="1"/>
  <c r="Q86" i="7"/>
  <c r="Q85" i="7"/>
  <c r="W86" i="7" s="1"/>
  <c r="D84" i="7"/>
  <c r="Q84" i="7" s="1"/>
  <c r="X83" i="7" s="1"/>
  <c r="D83" i="7"/>
  <c r="Q83" i="7" s="1"/>
  <c r="W92" i="7" l="1"/>
  <c r="N18" i="7"/>
  <c r="W98" i="7"/>
  <c r="W96" i="7"/>
  <c r="N17" i="7"/>
  <c r="J31" i="7" l="1"/>
  <c r="J32" i="7"/>
  <c r="Q55" i="7" l="1"/>
  <c r="Q56" i="7"/>
  <c r="Q57" i="7"/>
  <c r="Q58" i="7"/>
  <c r="Q59" i="7"/>
  <c r="Q60" i="7"/>
  <c r="Q61" i="7"/>
  <c r="Q62" i="7"/>
  <c r="Q63" i="7"/>
  <c r="W64" i="7" s="1"/>
  <c r="Q64" i="7"/>
  <c r="Q65" i="7"/>
  <c r="Q66" i="7"/>
  <c r="Q67" i="7"/>
  <c r="Q68" i="7"/>
  <c r="Q69" i="7"/>
  <c r="Q70" i="7"/>
  <c r="Q71" i="7"/>
  <c r="W72" i="7" s="1"/>
  <c r="Q72" i="7"/>
  <c r="Q73" i="7"/>
  <c r="Q74" i="7"/>
  <c r="Q75" i="7"/>
  <c r="W76" i="7" s="1"/>
  <c r="Q76" i="7"/>
  <c r="Q77" i="7"/>
  <c r="Q78" i="7"/>
  <c r="Q26" i="7"/>
  <c r="Q30" i="7"/>
  <c r="Q34" i="7"/>
  <c r="Q38" i="7"/>
  <c r="Q42" i="7"/>
  <c r="Q46" i="7"/>
  <c r="Q28" i="7"/>
  <c r="Q27" i="7"/>
  <c r="Q29" i="7"/>
  <c r="Q31" i="7"/>
  <c r="Q32" i="7"/>
  <c r="Q33" i="7"/>
  <c r="Q35" i="7"/>
  <c r="Q36" i="7"/>
  <c r="Q37" i="7"/>
  <c r="W38" i="7" s="1"/>
  <c r="Q39" i="7"/>
  <c r="Q40" i="7"/>
  <c r="Q41" i="7"/>
  <c r="W42" i="7" s="1"/>
  <c r="Q43" i="7"/>
  <c r="Q44" i="7"/>
  <c r="Q45" i="7"/>
  <c r="Q47" i="7"/>
  <c r="Q48" i="7"/>
  <c r="W68" i="7" l="1"/>
  <c r="W80" i="7"/>
  <c r="W60" i="7"/>
  <c r="W56" i="7"/>
  <c r="W48" i="7"/>
  <c r="W46" i="7"/>
  <c r="W36" i="7"/>
  <c r="W78" i="7"/>
  <c r="W70" i="7"/>
  <c r="W62" i="7"/>
  <c r="W58" i="7"/>
  <c r="W40" i="7"/>
  <c r="W34" i="7"/>
  <c r="W30" i="7"/>
  <c r="H76" i="7"/>
  <c r="H28" i="7"/>
  <c r="H27" i="7"/>
  <c r="R104" i="7"/>
  <c r="R103" i="7"/>
  <c r="Q49" i="7"/>
  <c r="S50" i="7"/>
  <c r="S49" i="7"/>
  <c r="S24" i="7"/>
  <c r="S23" i="7"/>
  <c r="S7" i="7"/>
  <c r="Q15" i="7" l="1"/>
  <c r="Q11" i="7"/>
  <c r="Q19" i="7"/>
  <c r="Q21" i="7"/>
  <c r="Q13" i="7"/>
  <c r="Q24" i="7"/>
  <c r="Q23" i="7"/>
  <c r="Q25" i="7"/>
  <c r="X26" i="7" s="1"/>
  <c r="D81" i="7"/>
  <c r="Q50" i="7"/>
  <c r="S81" i="7" l="1"/>
  <c r="J3" i="10"/>
  <c r="J5" i="10" s="1"/>
  <c r="D3" i="10"/>
  <c r="D6" i="10" s="1"/>
  <c r="A1" i="9"/>
  <c r="D3" i="9" s="1"/>
  <c r="A1" i="8"/>
  <c r="J3" i="8" s="1"/>
  <c r="M104" i="7"/>
  <c r="L104" i="7"/>
  <c r="K104" i="7"/>
  <c r="M103" i="7"/>
  <c r="L103" i="7"/>
  <c r="K103" i="7"/>
  <c r="I102" i="7"/>
  <c r="H102" i="7" s="1"/>
  <c r="O102" i="7" s="1"/>
  <c r="I101" i="7"/>
  <c r="H101" i="7" s="1"/>
  <c r="O101" i="7" s="1"/>
  <c r="Q100" i="7"/>
  <c r="W100" i="7" s="1"/>
  <c r="I100" i="7"/>
  <c r="H100" i="7" s="1"/>
  <c r="O100" i="7" s="1"/>
  <c r="I99" i="7"/>
  <c r="H99" i="7" s="1"/>
  <c r="O99" i="7" s="1"/>
  <c r="I98" i="7"/>
  <c r="H98" i="7" s="1"/>
  <c r="I97" i="7"/>
  <c r="I96" i="7"/>
  <c r="I95" i="7"/>
  <c r="H95" i="7" s="1"/>
  <c r="I94" i="7"/>
  <c r="I93" i="7"/>
  <c r="U92" i="7"/>
  <c r="U91" i="7"/>
  <c r="I88" i="7"/>
  <c r="H88" i="7" s="1"/>
  <c r="I87" i="7"/>
  <c r="H87" i="7" s="1"/>
  <c r="I86" i="7"/>
  <c r="I85" i="7"/>
  <c r="I84" i="7"/>
  <c r="H84" i="7" s="1"/>
  <c r="O84" i="7" s="1"/>
  <c r="I83" i="7"/>
  <c r="I82" i="7"/>
  <c r="H82" i="7" s="1"/>
  <c r="I81" i="7"/>
  <c r="O80" i="7"/>
  <c r="O74" i="7" s="1"/>
  <c r="F80" i="7"/>
  <c r="F79" i="7"/>
  <c r="I78" i="7"/>
  <c r="H78" i="7" s="1"/>
  <c r="O78" i="7" s="1"/>
  <c r="F78" i="7"/>
  <c r="F77" i="7"/>
  <c r="J77" i="7" s="1"/>
  <c r="F76" i="7"/>
  <c r="I75" i="7"/>
  <c r="H75" i="7" s="1"/>
  <c r="F75" i="7"/>
  <c r="I72" i="7"/>
  <c r="H72" i="7" s="1"/>
  <c r="O72" i="7" s="1"/>
  <c r="F72" i="7"/>
  <c r="I71" i="7"/>
  <c r="H71" i="7" s="1"/>
  <c r="O71" i="7" s="1"/>
  <c r="F71" i="7"/>
  <c r="I70" i="7"/>
  <c r="F70" i="7"/>
  <c r="N70" i="7" s="1"/>
  <c r="I69" i="7"/>
  <c r="F69" i="7"/>
  <c r="I68" i="7"/>
  <c r="F68" i="7"/>
  <c r="N68" i="7" s="1"/>
  <c r="H68" i="7" s="1"/>
  <c r="I67" i="7"/>
  <c r="F67" i="7"/>
  <c r="N67" i="7" s="1"/>
  <c r="N65" i="7" s="1"/>
  <c r="H65" i="7" s="1"/>
  <c r="N64" i="7"/>
  <c r="I64" i="7"/>
  <c r="N63" i="7"/>
  <c r="I63" i="7"/>
  <c r="F63" i="7"/>
  <c r="I62" i="7"/>
  <c r="F62" i="7"/>
  <c r="N62" i="7" s="1"/>
  <c r="N61" i="7"/>
  <c r="I61" i="7"/>
  <c r="F61" i="7"/>
  <c r="N60" i="7"/>
  <c r="I60" i="7"/>
  <c r="F60" i="7"/>
  <c r="I59" i="7"/>
  <c r="H59" i="7" s="1"/>
  <c r="F59" i="7"/>
  <c r="O59" i="7" s="1"/>
  <c r="N58" i="7"/>
  <c r="I58" i="7"/>
  <c r="F58" i="7"/>
  <c r="N57" i="7"/>
  <c r="I57" i="7"/>
  <c r="F57" i="7"/>
  <c r="N56" i="7"/>
  <c r="H56" i="7" s="1"/>
  <c r="F56" i="7"/>
  <c r="N55" i="7"/>
  <c r="I55" i="7"/>
  <c r="F55" i="7"/>
  <c r="J54" i="7"/>
  <c r="D54" i="7"/>
  <c r="J53" i="7"/>
  <c r="D53" i="7"/>
  <c r="I50" i="7"/>
  <c r="H50" i="7" s="1"/>
  <c r="I49" i="7"/>
  <c r="H49" i="7" s="1"/>
  <c r="O49" i="7" s="1"/>
  <c r="J48" i="7"/>
  <c r="J44" i="7" s="1"/>
  <c r="J47" i="7"/>
  <c r="J43" i="7" s="1"/>
  <c r="I42" i="7"/>
  <c r="H42" i="7" s="1"/>
  <c r="O42" i="7" s="1"/>
  <c r="I41" i="7"/>
  <c r="H41" i="7" s="1"/>
  <c r="O41" i="7" s="1"/>
  <c r="N40" i="7"/>
  <c r="I40" i="7"/>
  <c r="I39" i="7"/>
  <c r="H39" i="7" s="1"/>
  <c r="O39" i="7" s="1"/>
  <c r="N38" i="7"/>
  <c r="I38" i="7"/>
  <c r="I37" i="7"/>
  <c r="H37" i="7" s="1"/>
  <c r="O37" i="7" s="1"/>
  <c r="N36" i="7"/>
  <c r="I36" i="7"/>
  <c r="I35" i="7"/>
  <c r="H35" i="7" s="1"/>
  <c r="O35" i="7" s="1"/>
  <c r="N34" i="7"/>
  <c r="I34" i="7"/>
  <c r="N33" i="7"/>
  <c r="N31" i="7" s="1"/>
  <c r="I33" i="7"/>
  <c r="I32" i="7"/>
  <c r="N30" i="7"/>
  <c r="I30" i="7"/>
  <c r="N29" i="7"/>
  <c r="I29" i="7"/>
  <c r="O28" i="7"/>
  <c r="O27" i="7"/>
  <c r="I26" i="7"/>
  <c r="H26" i="7" s="1"/>
  <c r="N25" i="7"/>
  <c r="I25" i="7"/>
  <c r="I22" i="7"/>
  <c r="I21" i="7"/>
  <c r="I20" i="7"/>
  <c r="I19" i="7"/>
  <c r="I18" i="7"/>
  <c r="D18" i="7"/>
  <c r="I17" i="7"/>
  <c r="D17" i="7"/>
  <c r="I16" i="7"/>
  <c r="I15" i="7"/>
  <c r="I14" i="7"/>
  <c r="I13" i="7"/>
  <c r="I12" i="7"/>
  <c r="H12" i="7" s="1"/>
  <c r="O12" i="7" s="1"/>
  <c r="I11" i="7"/>
  <c r="H11" i="7" s="1"/>
  <c r="O11" i="7" s="1"/>
  <c r="I10" i="7"/>
  <c r="F10" i="7"/>
  <c r="D10" i="7"/>
  <c r="I9" i="7"/>
  <c r="F9" i="7"/>
  <c r="D9" i="7"/>
  <c r="S8" i="7"/>
  <c r="Q8" i="7"/>
  <c r="I8" i="7"/>
  <c r="Q7" i="7"/>
  <c r="I7" i="7"/>
  <c r="C12" i="6"/>
  <c r="E7" i="6" s="1"/>
  <c r="D7" i="6"/>
  <c r="E4" i="6"/>
  <c r="E3" i="6"/>
  <c r="D3" i="6"/>
  <c r="D2" i="6"/>
  <c r="D12" i="6" s="1"/>
  <c r="U76" i="5"/>
  <c r="S63" i="5" s="1"/>
  <c r="S75" i="5" s="1"/>
  <c r="U71" i="5"/>
  <c r="K57" i="5"/>
  <c r="J57" i="5"/>
  <c r="L55" i="5"/>
  <c r="K55" i="5"/>
  <c r="J55" i="5"/>
  <c r="K54" i="5"/>
  <c r="K58" i="5" s="1"/>
  <c r="J54" i="5"/>
  <c r="E50" i="5"/>
  <c r="J37" i="5" s="1"/>
  <c r="L37" i="5" s="1"/>
  <c r="E49" i="5"/>
  <c r="D43" i="5"/>
  <c r="J39" i="5"/>
  <c r="L39" i="5" s="1"/>
  <c r="I39" i="5"/>
  <c r="I38" i="5"/>
  <c r="I37" i="5"/>
  <c r="K33" i="5"/>
  <c r="L57" i="5" s="1"/>
  <c r="K32" i="5"/>
  <c r="K31" i="5"/>
  <c r="K30" i="5"/>
  <c r="K29" i="5"/>
  <c r="K8" i="5"/>
  <c r="K7" i="5"/>
  <c r="K6" i="5"/>
  <c r="L54" i="5" s="1"/>
  <c r="L58" i="5" s="1"/>
  <c r="K5" i="5"/>
  <c r="K4" i="5"/>
  <c r="L4" i="5" s="1"/>
  <c r="E22" i="3"/>
  <c r="E21" i="3"/>
  <c r="E19" i="3"/>
  <c r="E18" i="3"/>
  <c r="N13" i="3"/>
  <c r="O16" i="3" s="1"/>
  <c r="N12" i="3"/>
  <c r="O14" i="3" s="1"/>
  <c r="L6" i="2"/>
  <c r="D6" i="2"/>
  <c r="Q4" i="2"/>
  <c r="Q5" i="2" s="1"/>
  <c r="P4" i="2"/>
  <c r="P5" i="2" s="1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O3" i="2"/>
  <c r="O5" i="2" s="1"/>
  <c r="N3" i="2"/>
  <c r="N5" i="2" s="1"/>
  <c r="M3" i="2"/>
  <c r="L3" i="2"/>
  <c r="K3" i="2"/>
  <c r="K5" i="2" s="1"/>
  <c r="J3" i="2"/>
  <c r="J5" i="2" s="1"/>
  <c r="I3" i="2"/>
  <c r="H3" i="2"/>
  <c r="G3" i="2"/>
  <c r="G5" i="2" s="1"/>
  <c r="F3" i="2"/>
  <c r="F5" i="2" s="1"/>
  <c r="E3" i="2"/>
  <c r="D3" i="2"/>
  <c r="C3" i="2"/>
  <c r="Q10" i="2" s="1"/>
  <c r="B3" i="2"/>
  <c r="P10" i="2" s="1"/>
  <c r="R33" i="1"/>
  <c r="Q33" i="1"/>
  <c r="R32" i="1"/>
  <c r="Q32" i="1"/>
  <c r="R31" i="1"/>
  <c r="Q31" i="1"/>
  <c r="N31" i="1"/>
  <c r="O31" i="1" s="1"/>
  <c r="N30" i="1"/>
  <c r="O30" i="1" s="1"/>
  <c r="L25" i="1"/>
  <c r="M25" i="1" s="1"/>
  <c r="G21" i="1"/>
  <c r="F20" i="1"/>
  <c r="Q17" i="1"/>
  <c r="I17" i="1"/>
  <c r="I20" i="1" s="1"/>
  <c r="I15" i="1"/>
  <c r="H15" i="1"/>
  <c r="E15" i="1"/>
  <c r="E16" i="1" s="1"/>
  <c r="J14" i="1"/>
  <c r="I14" i="1"/>
  <c r="H14" i="1"/>
  <c r="F14" i="1"/>
  <c r="R19" i="1" s="1"/>
  <c r="I13" i="1"/>
  <c r="H13" i="1"/>
  <c r="V12" i="1"/>
  <c r="R12" i="1"/>
  <c r="P12" i="1" s="1"/>
  <c r="Q12" i="1"/>
  <c r="O12" i="1" s="1"/>
  <c r="L12" i="1"/>
  <c r="M12" i="1" s="1"/>
  <c r="R11" i="1"/>
  <c r="P11" i="1" s="1"/>
  <c r="Q11" i="1"/>
  <c r="O11" i="1"/>
  <c r="M11" i="1"/>
  <c r="L11" i="1"/>
  <c r="G11" i="1"/>
  <c r="V10" i="1"/>
  <c r="S10" i="1"/>
  <c r="R10" i="1"/>
  <c r="P10" i="1" s="1"/>
  <c r="O10" i="1"/>
  <c r="M10" i="1"/>
  <c r="L10" i="1"/>
  <c r="G9" i="1"/>
  <c r="F9" i="1"/>
  <c r="Q9" i="1" s="1"/>
  <c r="V8" i="1"/>
  <c r="Q8" i="1"/>
  <c r="S8" i="1" s="1"/>
  <c r="L8" i="1"/>
  <c r="M21" i="1" s="1"/>
  <c r="G7" i="1"/>
  <c r="F7" i="1"/>
  <c r="V6" i="1"/>
  <c r="S6" i="1"/>
  <c r="R6" i="1"/>
  <c r="P6" i="1" s="1"/>
  <c r="O6" i="1"/>
  <c r="L6" i="1"/>
  <c r="M19" i="1" s="1"/>
  <c r="G5" i="1"/>
  <c r="G15" i="1" s="1"/>
  <c r="F5" i="1"/>
  <c r="L23" i="1" s="1"/>
  <c r="L27" i="1" s="1"/>
  <c r="Q4" i="1"/>
  <c r="Q14" i="1" s="1"/>
  <c r="L4" i="1"/>
  <c r="V3" i="1"/>
  <c r="G3" i="1"/>
  <c r="F3" i="1"/>
  <c r="Z1" i="1"/>
  <c r="Y7" i="1" s="1"/>
  <c r="T9" i="1" l="1"/>
  <c r="T3" i="1"/>
  <c r="T5" i="1"/>
  <c r="L14" i="1"/>
  <c r="H5" i="2"/>
  <c r="P11" i="2"/>
  <c r="E2" i="6"/>
  <c r="J9" i="1"/>
  <c r="I5" i="2"/>
  <c r="Q11" i="2"/>
  <c r="E9" i="6"/>
  <c r="H55" i="7"/>
  <c r="O55" i="7" s="1"/>
  <c r="R14" i="1"/>
  <c r="J58" i="5"/>
  <c r="H30" i="7"/>
  <c r="Q16" i="7"/>
  <c r="W16" i="7" s="1"/>
  <c r="Q12" i="7"/>
  <c r="I44" i="7"/>
  <c r="H44" i="7" s="1"/>
  <c r="J24" i="7"/>
  <c r="O50" i="7"/>
  <c r="O86" i="7"/>
  <c r="O96" i="7"/>
  <c r="H96" i="7"/>
  <c r="I43" i="7"/>
  <c r="J23" i="7"/>
  <c r="O93" i="7"/>
  <c r="H97" i="7"/>
  <c r="O97" i="7" s="1"/>
  <c r="H45" i="7"/>
  <c r="O45" i="7" s="1"/>
  <c r="H46" i="7"/>
  <c r="O46" i="7" s="1"/>
  <c r="I31" i="7"/>
  <c r="H38" i="7"/>
  <c r="O38" i="7" s="1"/>
  <c r="H33" i="7"/>
  <c r="O33" i="7" s="1"/>
  <c r="H18" i="7"/>
  <c r="O18" i="7" s="1"/>
  <c r="N54" i="7"/>
  <c r="H54" i="7" s="1"/>
  <c r="F74" i="7"/>
  <c r="F104" i="7" s="1"/>
  <c r="N23" i="7"/>
  <c r="H29" i="7"/>
  <c r="H57" i="7"/>
  <c r="O57" i="7" s="1"/>
  <c r="H61" i="7"/>
  <c r="O61" i="7" s="1"/>
  <c r="H67" i="7"/>
  <c r="O67" i="7" s="1"/>
  <c r="O56" i="7"/>
  <c r="I77" i="7"/>
  <c r="J73" i="7"/>
  <c r="O20" i="7"/>
  <c r="H16" i="7"/>
  <c r="O16" i="7" s="1"/>
  <c r="Q18" i="7"/>
  <c r="H25" i="7"/>
  <c r="O25" i="7" s="1"/>
  <c r="H36" i="7"/>
  <c r="I48" i="7"/>
  <c r="Q51" i="7"/>
  <c r="Q103" i="7" s="1"/>
  <c r="S51" i="7"/>
  <c r="N53" i="7"/>
  <c r="H53" i="7" s="1"/>
  <c r="H58" i="7"/>
  <c r="O58" i="7" s="1"/>
  <c r="H63" i="7"/>
  <c r="O63" i="7" s="1"/>
  <c r="H64" i="7"/>
  <c r="O64" i="7" s="1"/>
  <c r="H69" i="7"/>
  <c r="O69" i="7" s="1"/>
  <c r="O65" i="7" s="1"/>
  <c r="O88" i="7"/>
  <c r="H22" i="7"/>
  <c r="O22" i="7" s="1"/>
  <c r="F53" i="7"/>
  <c r="Q53" i="7"/>
  <c r="H62" i="7"/>
  <c r="O62" i="7" s="1"/>
  <c r="O94" i="7"/>
  <c r="Q20" i="7"/>
  <c r="W20" i="7" s="1"/>
  <c r="Q22" i="7"/>
  <c r="W22" i="7" s="1"/>
  <c r="Q14" i="7"/>
  <c r="W14" i="7" s="1"/>
  <c r="H17" i="7"/>
  <c r="O17" i="7" s="1"/>
  <c r="I47" i="7"/>
  <c r="H60" i="7"/>
  <c r="O60" i="7" s="1"/>
  <c r="O68" i="7"/>
  <c r="H70" i="7"/>
  <c r="O70" i="7" s="1"/>
  <c r="O95" i="7"/>
  <c r="Q17" i="7"/>
  <c r="H15" i="7"/>
  <c r="O15" i="7" s="1"/>
  <c r="O19" i="7"/>
  <c r="H21" i="7"/>
  <c r="O21" i="7" s="1"/>
  <c r="F54" i="7"/>
  <c r="Q54" i="7"/>
  <c r="F73" i="7"/>
  <c r="O87" i="7"/>
  <c r="O98" i="7"/>
  <c r="D82" i="7"/>
  <c r="H40" i="7"/>
  <c r="O40" i="7" s="1"/>
  <c r="Q10" i="7"/>
  <c r="U11" i="7"/>
  <c r="U9" i="7" s="1"/>
  <c r="Q9" i="7"/>
  <c r="D3" i="8"/>
  <c r="D6" i="8" s="1"/>
  <c r="F6" i="8" s="1"/>
  <c r="G6" i="8" s="1"/>
  <c r="N32" i="7"/>
  <c r="N24" i="7" s="1"/>
  <c r="H34" i="7"/>
  <c r="O34" i="7" s="1"/>
  <c r="S52" i="7"/>
  <c r="H66" i="7"/>
  <c r="F51" i="7"/>
  <c r="F103" i="7" s="1"/>
  <c r="Z8" i="1"/>
  <c r="Z7" i="1"/>
  <c r="S9" i="1"/>
  <c r="R9" i="1"/>
  <c r="P9" i="1" s="1"/>
  <c r="O9" i="1"/>
  <c r="Q15" i="1"/>
  <c r="S15" i="1" s="1"/>
  <c r="S14" i="1"/>
  <c r="T19" i="1"/>
  <c r="F13" i="1"/>
  <c r="L3" i="1"/>
  <c r="M3" i="1" s="1"/>
  <c r="M4" i="1"/>
  <c r="O5" i="1"/>
  <c r="M6" i="1"/>
  <c r="O7" i="1"/>
  <c r="M23" i="1"/>
  <c r="K11" i="1"/>
  <c r="M14" i="1"/>
  <c r="F18" i="1"/>
  <c r="Y3" i="1"/>
  <c r="O4" i="1"/>
  <c r="S4" i="1"/>
  <c r="Y5" i="1"/>
  <c r="T7" i="1"/>
  <c r="T15" i="1" s="1"/>
  <c r="M8" i="1"/>
  <c r="R8" i="1"/>
  <c r="P8" i="1" s="1"/>
  <c r="L17" i="1"/>
  <c r="I18" i="1"/>
  <c r="D4" i="9"/>
  <c r="D5" i="9"/>
  <c r="D6" i="9"/>
  <c r="Q3" i="1"/>
  <c r="O3" i="1" s="1"/>
  <c r="R4" i="1"/>
  <c r="P4" i="1" s="1"/>
  <c r="P14" i="1" s="1"/>
  <c r="Y8" i="1"/>
  <c r="L5" i="1"/>
  <c r="M5" i="1" s="1"/>
  <c r="J3" i="1" s="1"/>
  <c r="R5" i="1"/>
  <c r="P5" i="1" s="1"/>
  <c r="L7" i="1"/>
  <c r="Q7" i="1"/>
  <c r="O8" i="1"/>
  <c r="L9" i="1"/>
  <c r="F6" i="2"/>
  <c r="J6" i="2"/>
  <c r="N6" i="2"/>
  <c r="P6" i="2"/>
  <c r="H43" i="7"/>
  <c r="F6" i="10"/>
  <c r="G6" i="10"/>
  <c r="S5" i="1"/>
  <c r="S17" i="1"/>
  <c r="Q18" i="1"/>
  <c r="O26" i="7"/>
  <c r="J6" i="8"/>
  <c r="J4" i="8"/>
  <c r="J5" i="8"/>
  <c r="L5" i="10"/>
  <c r="M5" i="10" s="1"/>
  <c r="D5" i="10"/>
  <c r="B5" i="2"/>
  <c r="D103" i="7"/>
  <c r="J4" i="10"/>
  <c r="J6" i="10"/>
  <c r="C5" i="2"/>
  <c r="Q12" i="2" s="1"/>
  <c r="J38" i="5"/>
  <c r="L38" i="5" s="1"/>
  <c r="O29" i="7"/>
  <c r="O30" i="7"/>
  <c r="D4" i="10"/>
  <c r="E12" i="6" l="1"/>
  <c r="H6" i="2"/>
  <c r="W12" i="7"/>
  <c r="X12" i="7"/>
  <c r="Q82" i="7"/>
  <c r="Q104" i="7" s="1"/>
  <c r="W104" i="7" s="1"/>
  <c r="W105" i="7" s="1"/>
  <c r="S82" i="7"/>
  <c r="O82" i="7"/>
  <c r="F107" i="7"/>
  <c r="W24" i="7"/>
  <c r="W23" i="7"/>
  <c r="H31" i="7"/>
  <c r="O31" i="7" s="1"/>
  <c r="O66" i="7"/>
  <c r="O54" i="7"/>
  <c r="H48" i="7"/>
  <c r="O48" i="7" s="1"/>
  <c r="O44" i="7" s="1"/>
  <c r="O53" i="7"/>
  <c r="D104" i="7"/>
  <c r="S104" i="7" s="1"/>
  <c r="H47" i="7"/>
  <c r="O47" i="7" s="1"/>
  <c r="O43" i="7" s="1"/>
  <c r="J51" i="7"/>
  <c r="I51" i="7" s="1"/>
  <c r="I73" i="7"/>
  <c r="S103" i="7"/>
  <c r="H77" i="7"/>
  <c r="O77" i="7" s="1"/>
  <c r="O73" i="7" s="1"/>
  <c r="O32" i="7"/>
  <c r="D4" i="8"/>
  <c r="D5" i="8"/>
  <c r="F5" i="8" s="1"/>
  <c r="G5" i="8" s="1"/>
  <c r="H32" i="7"/>
  <c r="J15" i="1"/>
  <c r="J13" i="1"/>
  <c r="F4" i="10"/>
  <c r="G4" i="10" s="1"/>
  <c r="D7" i="10"/>
  <c r="M20" i="1"/>
  <c r="K7" i="1"/>
  <c r="F6" i="9"/>
  <c r="G6" i="9" s="1"/>
  <c r="F5" i="10"/>
  <c r="G5" i="10" s="1"/>
  <c r="L4" i="8"/>
  <c r="J7" i="8"/>
  <c r="K9" i="1"/>
  <c r="M9" i="1"/>
  <c r="Z12" i="1"/>
  <c r="Z10" i="1"/>
  <c r="F5" i="9"/>
  <c r="G5" i="9" s="1"/>
  <c r="Z6" i="1"/>
  <c r="Z5" i="1"/>
  <c r="S13" i="1"/>
  <c r="R18" i="1"/>
  <c r="L13" i="1"/>
  <c r="L20" i="1" s="1"/>
  <c r="L6" i="10"/>
  <c r="M6" i="10" s="1"/>
  <c r="L6" i="8"/>
  <c r="M6" i="8" s="1"/>
  <c r="I23" i="7"/>
  <c r="I103" i="7" s="1"/>
  <c r="M18" i="1"/>
  <c r="K5" i="1"/>
  <c r="D7" i="9"/>
  <c r="F4" i="9"/>
  <c r="J104" i="7"/>
  <c r="I24" i="7"/>
  <c r="H24" i="7" s="1"/>
  <c r="L4" i="10"/>
  <c r="J7" i="10"/>
  <c r="V15" i="7"/>
  <c r="U10" i="7"/>
  <c r="V12" i="7"/>
  <c r="N9" i="7" s="1"/>
  <c r="V9" i="7"/>
  <c r="S7" i="1"/>
  <c r="R7" i="1"/>
  <c r="P7" i="1" s="1"/>
  <c r="S3" i="1"/>
  <c r="R3" i="1"/>
  <c r="P3" i="1" s="1"/>
  <c r="O14" i="1"/>
  <c r="O15" i="1" s="1"/>
  <c r="R15" i="1"/>
  <c r="P12" i="2"/>
  <c r="B6" i="2"/>
  <c r="L5" i="8"/>
  <c r="M5" i="8" s="1"/>
  <c r="Z4" i="1"/>
  <c r="Z3" i="1"/>
  <c r="Y10" i="1"/>
  <c r="L15" i="1"/>
  <c r="K3" i="1"/>
  <c r="M7" i="1"/>
  <c r="L7" i="10" l="1"/>
  <c r="M13" i="1"/>
  <c r="N7" i="7"/>
  <c r="H7" i="7" s="1"/>
  <c r="O7" i="7" s="1"/>
  <c r="H9" i="7"/>
  <c r="O9" i="7" s="1"/>
  <c r="H51" i="7"/>
  <c r="D7" i="8"/>
  <c r="D10" i="8" s="1"/>
  <c r="D105" i="7"/>
  <c r="F7" i="9"/>
  <c r="J103" i="7"/>
  <c r="F4" i="8"/>
  <c r="G4" i="8" s="1"/>
  <c r="G7" i="8" s="1"/>
  <c r="O13" i="7"/>
  <c r="H23" i="7"/>
  <c r="O23" i="7" s="1"/>
  <c r="I104" i="7"/>
  <c r="O24" i="7"/>
  <c r="L7" i="8"/>
  <c r="V16" i="7"/>
  <c r="V13" i="7"/>
  <c r="N10" i="7" s="1"/>
  <c r="V10" i="7"/>
  <c r="M4" i="10"/>
  <c r="M7" i="10" s="1"/>
  <c r="G7" i="10"/>
  <c r="G10" i="10" s="1"/>
  <c r="P15" i="1"/>
  <c r="P13" i="1"/>
  <c r="G4" i="9"/>
  <c r="G7" i="9" s="1"/>
  <c r="H7" i="9" s="1"/>
  <c r="M4" i="8"/>
  <c r="M7" i="8" s="1"/>
  <c r="N7" i="8" s="1"/>
  <c r="D10" i="10"/>
  <c r="K15" i="1"/>
  <c r="N7" i="10"/>
  <c r="F7" i="10"/>
  <c r="F10" i="10" s="1"/>
  <c r="R20" i="1"/>
  <c r="T18" i="1"/>
  <c r="X52" i="7" l="1"/>
  <c r="W49" i="7"/>
  <c r="N8" i="7"/>
  <c r="H10" i="7"/>
  <c r="O10" i="7" s="1"/>
  <c r="H7" i="8"/>
  <c r="X51" i="7"/>
  <c r="F7" i="8"/>
  <c r="F10" i="8" s="1"/>
  <c r="O14" i="7"/>
  <c r="G10" i="8"/>
  <c r="H10" i="8" s="1"/>
  <c r="H10" i="10"/>
  <c r="H7" i="10"/>
  <c r="O76" i="7"/>
  <c r="J76" i="7"/>
  <c r="I76" i="7" s="1"/>
  <c r="W50" i="7" l="1"/>
  <c r="H8" i="7"/>
  <c r="O8" i="7" s="1"/>
  <c r="O104" i="7" s="1"/>
  <c r="N104" i="7"/>
  <c r="H104" i="7" s="1"/>
  <c r="N83" i="7" l="1"/>
  <c r="O85" i="7"/>
  <c r="H83" i="7" l="1"/>
  <c r="O83" i="7" s="1"/>
  <c r="N81" i="7"/>
  <c r="N103" i="7" s="1"/>
  <c r="H103" i="7" s="1"/>
  <c r="H81" i="7" l="1"/>
  <c r="O81" i="7" s="1"/>
  <c r="O103" i="7" s="1"/>
  <c r="O107" i="7" s="1"/>
  <c r="H107" i="7"/>
  <c r="N107" i="7"/>
  <c r="W94" i="7" l="1"/>
  <c r="X82" i="7"/>
</calcChain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b/>
            <sz val="9"/>
            <color rgb="FF000000"/>
            <rFont val="Tahoma"/>
            <family val="2"/>
            <charset val="238"/>
          </rPr>
          <t>Lukasz Małecki:</t>
        </r>
        <r>
          <rPr>
            <sz val="9"/>
            <color rgb="FF000000"/>
            <rFont val="Tahoma"/>
            <family val="2"/>
            <charset val="238"/>
          </rPr>
          <t>Do poprawy</t>
        </r>
      </text>
    </comment>
  </commentList>
</comments>
</file>

<file path=xl/comments2.xml><?xml version="1.0" encoding="utf-8"?>
<comments xmlns="http://schemas.openxmlformats.org/spreadsheetml/2006/main">
  <authors>
    <author/>
    <author>Modzolewski Tomasz</author>
  </authors>
  <commentList>
    <comment ref="H41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20% wydatków beneficjenta w projekcie</t>
        </r>
      </text>
    </comment>
    <comment ref="H45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15% wydatków beneficjenta w projekcie</t>
        </r>
      </text>
    </comment>
    <comment ref="B51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inne wartości z uwagi na zmianę środków krajowych</t>
        </r>
      </text>
    </comment>
    <comment ref="J56" authorId="0">
      <text>
        <r>
          <rPr>
            <b/>
            <sz val="8"/>
            <color rgb="FF000000"/>
            <rFont val="Tahoma"/>
            <family val="2"/>
            <charset val="238"/>
          </rPr>
          <t>Anna Krajewska:</t>
        </r>
        <r>
          <rPr>
            <sz val="8"/>
            <color rgb="FF000000"/>
            <rFont val="Tahoma"/>
            <family val="2"/>
            <charset val="238"/>
          </rPr>
          <t>197577</t>
        </r>
      </text>
    </comment>
    <comment ref="D68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wartość alokacji pomniejszono o 11 973 180 eur.</t>
        </r>
      </text>
    </comment>
    <comment ref="D74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wzrost wartości</t>
        </r>
      </text>
    </comment>
    <comment ref="N79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wartość zmieniona zgodnie z relacją effr do wkładu krajowego w zatwierdzonych wnioskoach o dofinansowanie w 3.3.3.
Środki krajowe stanowią 35,63% środków EFRR</t>
        </r>
      </text>
    </comment>
    <comment ref="D80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wartość alokacji zwiększono o 11 973 180 eur tj. 50 000 000,00 zł - kurs 4,1760</t>
        </r>
      </text>
    </comment>
    <comment ref="N80" authorId="1">
      <text>
        <r>
          <rPr>
            <b/>
            <sz val="9"/>
            <color indexed="81"/>
            <rFont val="Tahoma"/>
            <family val="2"/>
            <charset val="238"/>
          </rPr>
          <t>Modzolewski Tomasz:</t>
        </r>
        <r>
          <rPr>
            <sz val="9"/>
            <color indexed="81"/>
            <rFont val="Tahoma"/>
            <family val="2"/>
            <charset val="238"/>
          </rPr>
          <t xml:space="preserve">
wartość zmieniona zgodnie z relacją effr do wkładu krajowego w zatwierdzonych wnioskoach o dofinansowanie w 3.3.3.
Środki krajowe stanowią 35,63% środków EFRR</t>
        </r>
      </text>
    </comment>
  </commentList>
</comments>
</file>

<file path=xl/sharedStrings.xml><?xml version="1.0" encoding="utf-8"?>
<sst xmlns="http://schemas.openxmlformats.org/spreadsheetml/2006/main" count="642" uniqueCount="308">
  <si>
    <t>Oś prioryte-towa</t>
  </si>
  <si>
    <t>Fundusz</t>
  </si>
  <si>
    <t>Kategoria regionu</t>
  </si>
  <si>
    <t>Podstawa kalkulacji wsparcia</t>
  </si>
  <si>
    <t>Alokacja na oś (UE)</t>
  </si>
  <si>
    <t>Wkład UE (a)</t>
  </si>
  <si>
    <t>Alokacja na oś (kraj)</t>
  </si>
  <si>
    <t>Wkład krajowy (b= c+d)</t>
  </si>
  <si>
    <t>Szacunkowy podział wkładu krajowego</t>
  </si>
  <si>
    <t>Finansowanie ogółem (UE+kraj)</t>
  </si>
  <si>
    <t>Finansowanie ogółem (e=a+b)</t>
  </si>
  <si>
    <t>Stopa współfinansowania (f=a/e)</t>
  </si>
  <si>
    <t>Dla celów informac.</t>
  </si>
  <si>
    <t>Główna alokacja</t>
  </si>
  <si>
    <t>Rezerwa wykonania</t>
  </si>
  <si>
    <t>Udział rezerwy we wsparciu UE (l=j/a*100%)</t>
  </si>
  <si>
    <t>Udział</t>
  </si>
  <si>
    <t>Udział alokacji osi w POIR z PT</t>
  </si>
  <si>
    <t>Udział alokacji osi bez PT</t>
  </si>
  <si>
    <t>krajowe środki publiczne (c)</t>
  </si>
  <si>
    <t>krajowe środki prywatne (d)</t>
  </si>
  <si>
    <t>wkład EBI</t>
  </si>
  <si>
    <t>wkład UE (h=a-j)</t>
  </si>
  <si>
    <t>wkład krajowy (i=b-k)</t>
  </si>
  <si>
    <t>wkład UE (j)</t>
  </si>
  <si>
    <t>wkład krajowy (k=b*(j/a))</t>
  </si>
  <si>
    <t>w alokacji PO IR, bez PT (%)</t>
  </si>
  <si>
    <t>udział wkladu publicznego we wkładzie krajowym</t>
  </si>
  <si>
    <t>I</t>
  </si>
  <si>
    <t>EFRR</t>
  </si>
  <si>
    <t>Słabiej rozwinięte</t>
  </si>
  <si>
    <t>wydatki kwalifikowalne ogółem</t>
  </si>
  <si>
    <t>1.</t>
  </si>
  <si>
    <t>Lepiej rozwinięte</t>
  </si>
  <si>
    <t>II</t>
  </si>
  <si>
    <t>2.</t>
  </si>
  <si>
    <t>III</t>
  </si>
  <si>
    <t>3.</t>
  </si>
  <si>
    <t>4.</t>
  </si>
  <si>
    <t>IV</t>
  </si>
  <si>
    <t>V</t>
  </si>
  <si>
    <t>SUMA</t>
  </si>
  <si>
    <t>-</t>
  </si>
  <si>
    <t>RAZEM</t>
  </si>
  <si>
    <t>alokacja POIR bez PT</t>
  </si>
  <si>
    <t>Proporcja 1 i 2 oś</t>
  </si>
  <si>
    <t>słabiej</t>
  </si>
  <si>
    <t>1 oś</t>
  </si>
  <si>
    <t>PI 1.b</t>
  </si>
  <si>
    <t>lepiej</t>
  </si>
  <si>
    <t>2 oś</t>
  </si>
  <si>
    <t>CT 3</t>
  </si>
  <si>
    <t>Docelowa wartość</t>
  </si>
  <si>
    <t>TOTAL</t>
  </si>
  <si>
    <t>obecna</t>
  </si>
  <si>
    <t>3 oś</t>
  </si>
  <si>
    <t>RÓŻNICA</t>
  </si>
  <si>
    <t>Alokacja główna</t>
  </si>
  <si>
    <t>Regiony słabiej rozwinięte</t>
  </si>
  <si>
    <t>Regiony lepiej rozwinięte</t>
  </si>
  <si>
    <t>EFRR SUMA</t>
  </si>
  <si>
    <t>Spr.</t>
  </si>
  <si>
    <t>gorzej</t>
  </si>
  <si>
    <t>mazow</t>
  </si>
  <si>
    <t>CCI</t>
  </si>
  <si>
    <t>Status</t>
  </si>
  <si>
    <t>Fund</t>
  </si>
  <si>
    <t>Category of Region</t>
  </si>
  <si>
    <t>Total</t>
  </si>
  <si>
    <t>2014</t>
  </si>
  <si>
    <t>2015</t>
  </si>
  <si>
    <t>2016</t>
  </si>
  <si>
    <t>2017</t>
  </si>
  <si>
    <t>2018</t>
  </si>
  <si>
    <t>2019</t>
  </si>
  <si>
    <t>2020</t>
  </si>
  <si>
    <t>Poprzednio:</t>
  </si>
  <si>
    <t>2014PL16RFOP001</t>
  </si>
  <si>
    <t>R</t>
  </si>
  <si>
    <t>ERDF</t>
  </si>
  <si>
    <t>Less developed</t>
  </si>
  <si>
    <t>POIR</t>
  </si>
  <si>
    <t>More developed</t>
  </si>
  <si>
    <t>Różnica</t>
  </si>
  <si>
    <t>Oś</t>
  </si>
  <si>
    <t>Alokacja EFRR na oś</t>
  </si>
  <si>
    <t>Cel tematyczny</t>
  </si>
  <si>
    <t>Priorytet inwestycyjny</t>
  </si>
  <si>
    <t>Kod kategorii</t>
  </si>
  <si>
    <t>Forma finans.</t>
  </si>
  <si>
    <t>Alokacja dla reg. słabiej rozwiniętych (EFFR)</t>
  </si>
  <si>
    <t>Alokacja dla Mazowsza (EFFR)</t>
  </si>
  <si>
    <t>Alokacja na kod - EFRR łącznie (I+J)</t>
  </si>
  <si>
    <t>Proponowany przez IP udział alokacji mazowieckiej w alokacji kodu kategorii ogółem (w %)</t>
  </si>
  <si>
    <t>1.b</t>
  </si>
  <si>
    <t>002</t>
  </si>
  <si>
    <t>01</t>
  </si>
  <si>
    <t>064</t>
  </si>
  <si>
    <t>065</t>
  </si>
  <si>
    <t>067</t>
  </si>
  <si>
    <t>03</t>
  </si>
  <si>
    <t>UWAGI</t>
  </si>
  <si>
    <t>Z planu finan.</t>
  </si>
  <si>
    <t>056</t>
  </si>
  <si>
    <t>057</t>
  </si>
  <si>
    <t>059</t>
  </si>
  <si>
    <t>066</t>
  </si>
  <si>
    <t>3.c</t>
  </si>
  <si>
    <t>062</t>
  </si>
  <si>
    <t>05</t>
  </si>
  <si>
    <t>3.a</t>
  </si>
  <si>
    <t>04</t>
  </si>
  <si>
    <t>1.a</t>
  </si>
  <si>
    <t>058</t>
  </si>
  <si>
    <t>060</t>
  </si>
  <si>
    <t>061</t>
  </si>
  <si>
    <t>5.</t>
  </si>
  <si>
    <t>%</t>
  </si>
  <si>
    <t>PT Total</t>
  </si>
  <si>
    <t>Kod</t>
  </si>
  <si>
    <t>Nazwa</t>
  </si>
  <si>
    <t>% wydatków klimatycznych</t>
  </si>
  <si>
    <t>Indykatywna alokacja (w EUR EFRR)</t>
  </si>
  <si>
    <t>wydatki klimatyczne w POIR łącznie w EUR</t>
  </si>
  <si>
    <t>reg. słabsze</t>
  </si>
  <si>
    <t>Mazowsze</t>
  </si>
  <si>
    <t>Łącznie</t>
  </si>
  <si>
    <r>
      <t>Procesy badawcze i innowacyjne w</t>
    </r>
    <r>
      <rPr>
        <b/>
        <sz val="11"/>
        <color rgb="FF000000"/>
        <rFont val="Calibri"/>
        <family val="2"/>
        <charset val="238"/>
      </rPr>
      <t>dużych przedsiębiorstwach</t>
    </r>
  </si>
  <si>
    <t>1. oś</t>
  </si>
  <si>
    <r>
      <t>Inwestycje w infrastrukturę, zdolności i wyposażenie w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, związane bezpośrednio z działaniami badawczymi i innowacyjnymi</t>
    </r>
  </si>
  <si>
    <t>2. oś</t>
  </si>
  <si>
    <r>
      <t>Inwestycje w infrastrukturę, zdolności i wyposażenie w</t>
    </r>
    <r>
      <rPr>
        <b/>
        <sz val="11"/>
        <color rgb="FF000000"/>
        <rFont val="Calibri"/>
        <family val="2"/>
        <charset val="238"/>
      </rPr>
      <t>dużych przedsiębiorstwach</t>
    </r>
    <r>
      <rPr>
        <sz val="11"/>
        <color rgb="FF000000"/>
        <rFont val="Calibri"/>
        <family val="2"/>
        <charset val="238"/>
      </rPr>
      <t>, związane bezpośrednio z działaniami badawczymi i innowacyjnymi</t>
    </r>
  </si>
  <si>
    <t>3. oś</t>
  </si>
  <si>
    <r>
      <t>Infrastruktura na rzecz badań naukowych i innowacji</t>
    </r>
    <r>
      <rPr>
        <b/>
        <sz val="11"/>
        <color rgb="FF000000"/>
        <rFont val="Calibri"/>
        <family val="2"/>
        <charset val="238"/>
      </rPr>
      <t>(publiczna)</t>
    </r>
  </si>
  <si>
    <t>4. oś</t>
  </si>
  <si>
    <r>
      <t>Infrastruktura na rzecz badań naukowych i innowacji</t>
    </r>
    <r>
      <rPr>
        <b/>
        <sz val="11"/>
        <color rgb="FF000000"/>
        <rFont val="Calibri"/>
        <family val="2"/>
        <charset val="238"/>
      </rPr>
      <t>(prywatna, w tym parki nauki)</t>
    </r>
  </si>
  <si>
    <r>
      <t>Działania badawcze i innowacyjne w</t>
    </r>
    <r>
      <rPr>
        <b/>
        <sz val="11"/>
        <color rgb="FF000000"/>
        <rFont val="Calibri"/>
        <family val="2"/>
        <charset val="238"/>
      </rPr>
      <t>publicznych</t>
    </r>
    <r>
      <rPr>
        <sz val="11"/>
        <color rgb="FF000000"/>
        <rFont val="Calibri"/>
        <family val="2"/>
        <charset val="238"/>
      </rPr>
      <t>ośrodkach badawczych i ośrodkach kompetencji, w tym tworzenie sieci</t>
    </r>
  </si>
  <si>
    <r>
      <t>Działania badawcze i innowacyjne w</t>
    </r>
    <r>
      <rPr>
        <b/>
        <sz val="11"/>
        <color rgb="FF000000"/>
        <rFont val="Calibri"/>
        <family val="2"/>
        <charset val="238"/>
      </rPr>
      <t>prywatnych</t>
    </r>
    <r>
      <rPr>
        <sz val="11"/>
        <color rgb="FF000000"/>
        <rFont val="Calibri"/>
        <family val="2"/>
        <charset val="238"/>
      </rPr>
      <t>ośrodkach badawczych, w tym tworzenie sieci</t>
    </r>
  </si>
  <si>
    <r>
      <t>Transfer technologii i współpraca między uczelniami a przedsiębiorstwami</t>
    </r>
    <r>
      <rPr>
        <sz val="11"/>
        <color rgb="FF000000"/>
        <rFont val="Calibri"/>
        <family val="2"/>
        <charset val="238"/>
      </rPr>
      <t>, z korzyścią głównie dla MŚP</t>
    </r>
  </si>
  <si>
    <t>063</t>
  </si>
  <si>
    <t>Wsparcie dla klastrów i sieci przedsiębiorstw, z korzyścią głównie dla MŚP</t>
  </si>
  <si>
    <r>
      <t>Procesy badawcze i innowacyjne w MŚP</t>
    </r>
    <r>
      <rPr>
        <sz val="11"/>
        <color rgb="FF000000"/>
        <rFont val="Calibri"/>
        <family val="2"/>
        <charset val="238"/>
      </rPr>
      <t>(w tym systemy bonów, innowacje procesowe, projektowe, innowacje w obszarze usług i innowacje społeczne)</t>
    </r>
  </si>
  <si>
    <r>
      <t>Infrastruktura na potrzeby badań i rozwoju, transfer technologii i współpraca</t>
    </r>
    <r>
      <rPr>
        <b/>
        <sz val="11"/>
        <color rgb="FF000000"/>
        <rFont val="Calibri"/>
        <family val="2"/>
        <charset val="238"/>
      </rPr>
      <t>w przedsiębiorstwach koncentrujących się na gospodarce niskoemisyjnej i odporności na zmiany klimatu</t>
    </r>
  </si>
  <si>
    <r>
      <t>Zaawansowane usługi wsparcia</t>
    </r>
    <r>
      <rPr>
        <b/>
        <sz val="11"/>
        <color rgb="FF000000"/>
        <rFont val="Calibri"/>
        <family val="2"/>
        <charset val="238"/>
      </rPr>
      <t>dla MŚP i grup MŚP</t>
    </r>
    <r>
      <rPr>
        <sz val="11"/>
        <color rgb="FF000000"/>
        <rFont val="Calibri"/>
        <family val="2"/>
        <charset val="238"/>
      </rPr>
      <t>(w tym usługi w zakresie zarządzania, marketingu i projektowania)</t>
    </r>
  </si>
  <si>
    <r>
      <t>Rozwój działalności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, wsparcie przedsiębiorczości i tworzenia przedsiębiorstw (w tym wsparcie dla przedsiębiorstw typu spin-off i spin-out)</t>
    </r>
  </si>
  <si>
    <t>068</t>
  </si>
  <si>
    <r>
      <t>Projekty w zakresie efektywności energetycznej i projekty demonstracyjne w</t>
    </r>
    <r>
      <rPr>
        <b/>
        <sz val="11"/>
        <color rgb="FF000000"/>
        <rFont val="Calibri"/>
        <family val="2"/>
        <charset val="238"/>
      </rPr>
      <t>MŚP</t>
    </r>
    <r>
      <rPr>
        <sz val="11"/>
        <color rgb="FF000000"/>
        <rFont val="Calibri"/>
        <family val="2"/>
        <charset val="238"/>
      </rPr>
      <t>oraz środki wsparcia</t>
    </r>
  </si>
  <si>
    <t>069</t>
  </si>
  <si>
    <r>
      <t>Wsparcie ekologicznych procesów produkcyjnych oraz efektywnego wykorzystywania zasobów w</t>
    </r>
    <r>
      <rPr>
        <b/>
        <sz val="11"/>
        <color rgb="FF000000"/>
        <rFont val="Calibri"/>
        <family val="2"/>
        <charset val="238"/>
      </rPr>
      <t>MŚP</t>
    </r>
  </si>
  <si>
    <t>070</t>
  </si>
  <si>
    <r>
      <t>Promowanie efektywności energetycznej w</t>
    </r>
    <r>
      <rPr>
        <b/>
        <sz val="11"/>
        <color rgb="FF000000"/>
        <rFont val="Calibri"/>
        <family val="2"/>
        <charset val="238"/>
      </rPr>
      <t>dużych przedsiębiorstwach</t>
    </r>
  </si>
  <si>
    <t>071</t>
  </si>
  <si>
    <r>
      <t>Rozwój i promocja przedsiębiorstw</t>
    </r>
    <r>
      <rPr>
        <sz val="11"/>
        <color rgb="FF000000"/>
        <rFont val="Calibri"/>
        <family val="2"/>
        <charset val="238"/>
      </rPr>
      <t>specjalizujących się w usługach na rzecz gospodarki niskoemisyjnej i odporności na zmiany klimatu (w tym wsparcie takich usług)</t>
    </r>
  </si>
  <si>
    <t>121</t>
  </si>
  <si>
    <t>Przygotowanie, wdrażanie, monitorowanie i kontrola</t>
  </si>
  <si>
    <t>122</t>
  </si>
  <si>
    <t>Ewaluacja i badania</t>
  </si>
  <si>
    <t>123</t>
  </si>
  <si>
    <t>Informacja i komunikacja</t>
  </si>
  <si>
    <t>Oś
priorytetowa</t>
  </si>
  <si>
    <t>Wsparcie UE
 (w mln EUR)</t>
  </si>
  <si>
    <t>Wsparcie UE dla PI
 (w mln EUR)</t>
  </si>
  <si>
    <t>Udział łącznego wsparcia UE w całości środków programu (%)</t>
  </si>
  <si>
    <t>Cele szczegółowe priorytetów 
inwestycyjnych</t>
  </si>
  <si>
    <t>Wskaźniki rezultatu odpowiadające poszczególnym celom szczegółowym</t>
  </si>
  <si>
    <t>Zwiększona działalność B+R przedsiębiorstw</t>
  </si>
  <si>
    <t>Nakłady sektora przedsiębiorstw na działalność B+R w relacji do PKB</t>
  </si>
  <si>
    <t>Zwiększony potencjał przedsiębiorstw do prowadzenia działalności B+R+I</t>
  </si>
  <si>
    <t>Zwiększona aktywność przedsiębiorstw w zakresie prowadzenia działalności innowacyjnej</t>
  </si>
  <si>
    <t>Nakłady na działalność innowacyjną przedsiębiorstw w stosunku do całości nakładów inwestycyjnych przedsiębiorstw</t>
  </si>
  <si>
    <t>Zwiększony poziom umiędzynarodowienia działalności przedsiębiorstw</t>
  </si>
  <si>
    <t>Udział eksportu wyrobów wysokiej techniki w eksporcie ogółem</t>
  </si>
  <si>
    <t>Zwiększone finansowanie innowacyjnej działalności MŚP z wykorzystaniem kapitału podwyższonego ryzyka</t>
  </si>
  <si>
    <t>Nakłady na działalność innowacyjną pochodzące z funduszy kapitału ryzyka</t>
  </si>
  <si>
    <t>Zwiększony poziom rynkowego wykorzystania wyników badań naukowych</t>
  </si>
  <si>
    <t>Udział finansowania pochodzącego z sektora przedsiębiorstw (BES) w wydatkach sektora szkolnictwa wyższego na działalność B+R (HERD)</t>
  </si>
  <si>
    <t>Udział nakładów bieżących poniesionych na badania stosowane i prace rozwojowe w nakładach bieżących ogółem na B+R</t>
  </si>
  <si>
    <t>Zapewnienie wysokiej jakości zasobów ludzkich wśród administracji wdrażającej oraz wzmocnienie kompetencji beneficjentów i potencjalnych  beneficjentów</t>
  </si>
  <si>
    <t>Nie dotyczy</t>
  </si>
  <si>
    <t>Sprawny system wdrażania programu</t>
  </si>
  <si>
    <t>Zapewnienie systemu informacji i promocji w ramach programu oraz prowadzenie działań wzmacniających interwencję</t>
  </si>
  <si>
    <t>ŁĄCZNIE</t>
  </si>
  <si>
    <t>Zał. 3. Indykatywny plan finansowy POIR (wydatki kwalifikowalne w EUR)</t>
  </si>
  <si>
    <t>Tabela finansowa PO IR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</si>
  <si>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</si>
  <si>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</si>
  <si>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</si>
  <si>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</si>
  <si>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</si>
  <si>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</si>
  <si>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</si>
  <si>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</si>
  <si>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Udział rezerwy wykonania w stos. Do całkowitej kwoty wsparcia UE</t>
  </si>
  <si>
    <t>Wkład EBI</t>
  </si>
  <si>
    <t>ogółem</t>
  </si>
  <si>
    <t>FS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</si>
  <si>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</si>
  <si>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</si>
  <si>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</si>
  <si>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</si>
  <si>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</si>
  <si>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</si>
  <si>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</si>
  <si>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</si>
  <si>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</si>
  <si>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</si>
  <si>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</si>
  <si>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</si>
  <si>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</si>
  <si>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</si>
  <si>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</si>
  <si>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</si>
  <si>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</si>
  <si>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</si>
  <si>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</si>
  <si>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</si>
  <si>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</si>
  <si>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</si>
  <si>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</si>
  <si>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</si>
  <si>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</si>
  <si>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</si>
  <si>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</si>
  <si>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</si>
  <si>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</si>
  <si>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</si>
  <si>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</si>
  <si>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</si>
  <si>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</si>
  <si>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</si>
  <si>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</si>
  <si>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</si>
  <si>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</si>
  <si>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</si>
  <si>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</si>
  <si>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</si>
  <si>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</si>
  <si>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</si>
  <si>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</si>
  <si>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</si>
  <si>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</si>
  <si>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  <charset val="238"/>
      </rPr>
      <t>Komponent I</t>
    </r>
  </si>
  <si>
    <r>
      <t>działanie 2.2</t>
    </r>
    <r>
      <rPr>
        <i/>
        <sz val="9"/>
        <rFont val="Arial"/>
        <family val="2"/>
        <charset val="238"/>
      </rPr>
      <t>Komponent II</t>
    </r>
  </si>
  <si>
    <t>działanie 2.3</t>
  </si>
  <si>
    <r>
      <t>poddziałanie 2.3.1</t>
    </r>
    <r>
      <rPr>
        <b/>
        <sz val="9"/>
        <rFont val="Arial"/>
        <family val="2"/>
        <charset val="238"/>
      </rPr>
      <t/>
    </r>
  </si>
  <si>
    <r>
      <t>poddziałanie 2.3.2</t>
    </r>
    <r>
      <rPr>
        <b/>
        <sz val="9"/>
        <rFont val="Arial"/>
        <family val="2"/>
        <charset val="238"/>
      </rPr>
      <t/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</si>
  <si>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</si>
  <si>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</si>
  <si>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</si>
  <si>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</si>
  <si>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</si>
  <si>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</si>
  <si>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</si>
  <si>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</si>
  <si>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</si>
  <si>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</si>
  <si>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</si>
  <si>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</si>
  <si>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</si>
  <si>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</si>
  <si>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</si>
  <si>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</si>
  <si>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</si>
  <si>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</si>
  <si>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</si>
  <si>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</si>
  <si>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</si>
  <si>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</si>
  <si>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</si>
  <si>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</si>
  <si>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</si>
  <si>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</si>
  <si>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</si>
  <si>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</si>
  <si>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</si>
  <si>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</si>
  <si>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</si>
  <si>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</si>
  <si>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Podział udziału przedsiębiorców (oszacowany na podstawie analizy programu historycznego czyli szybkiej ścieżki realizowaneej w ramach podziałania PO IG 1.4</t>
  </si>
  <si>
    <t>Badania rozowjowe (BR)</t>
  </si>
  <si>
    <t>Maksymalna Intensywność wsparcia/Pomoc publiczna wynikająca z Rozporządzaniu Komisji Europejskiej (2014/C 198/01 )</t>
  </si>
  <si>
    <t>Wkład krajowy (prywatny) dla Podziałania POIR 1.1.1</t>
  </si>
  <si>
    <t>Całkowita alokacja (wartość kosztów kwalifikowalnych) dla Podziałania 1.1.1</t>
  </si>
  <si>
    <t>Średni poziom intensywności wpsarcia dla przedsiębiorców w Badaniach rozwojowych</t>
  </si>
  <si>
    <t>Badania przemysłowe (BP)</t>
  </si>
  <si>
    <t>Średni poziom intensywności wpsarcia dla przedsiębiorców w Badaniach przemysłowych</t>
  </si>
  <si>
    <t>Duże</t>
  </si>
  <si>
    <t>Średnie</t>
  </si>
  <si>
    <t>Małe Mikro</t>
  </si>
  <si>
    <t>Suma alokacji BR+BP</t>
  </si>
  <si>
    <t>Suma wkładu krajowego (prywatnego) BR + BP</t>
  </si>
  <si>
    <t>Suma całkowitej alokacji (wartość kosztów kwalifikowalnych) BR+BP</t>
  </si>
  <si>
    <t>Średni poziom intensywności wpsarcia dla przedsiębiorców dla cełgo podziałania (uwzględniając BR i BP)</t>
  </si>
  <si>
    <t>Podział na Badania przemysłowe i Badania rozwojowe został przyjęty na podstawie pierwszego konkursu uruchomionego przez NCBR w ramach podziałania POIG 1.4</t>
  </si>
  <si>
    <t>Podział udziału przedsiębiorców (oszacowany na podstawie analizy programów historycznych czyli Demonstratora Bio-Info i Demonstratora Tech)</t>
  </si>
  <si>
    <t>Wkład krajowy (prywatny) dla Podziałania POIR 1.1.2</t>
  </si>
  <si>
    <t>Całkowita alokacja (wartość kosztów kwalifikowalnych) dla Podziałania 1.1.2</t>
  </si>
  <si>
    <t>Podział udziału przedsiębiorców (oszacowany na podstawie analizy programów historycznych czyli Innomed i Innolot)</t>
  </si>
  <si>
    <t>Wkład krajowy (prywatny) dla Działania POIR 1.2</t>
  </si>
  <si>
    <t>Całkowita alokacja (wartość kosztów kwalifikowalnych) dla Podziałania 1.2</t>
  </si>
  <si>
    <t>poddziałanie 4.1.1</t>
  </si>
  <si>
    <t>poddziałanie 4.1.2</t>
  </si>
  <si>
    <t>poddziałanie 4.1.3</t>
  </si>
  <si>
    <t>poddziałanie 4.1.4</t>
  </si>
  <si>
    <t>suma dla4.4.</t>
  </si>
  <si>
    <t>przesunięcie 3.3.3</t>
  </si>
  <si>
    <t>wartość eur</t>
  </si>
  <si>
    <t>rezerwa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</si>
</sst>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164" formatCode="0.000000000000"/>
    <numFmt numFmtId="165" formatCode="0.0"/>
    <numFmt numFmtId="166" formatCode="0.000000000000000"/>
    <numFmt numFmtId="167" formatCode="0.00000%"/>
    <numFmt numFmtId="168" formatCode="#,##0.0000"/>
    <numFmt numFmtId="169" formatCode="_-* #,##0.00,_z_ł_-;\-* #,##0.00,_z_ł_-;_-* \-??\ _z_ł_-;_-@_-"/>
    <numFmt numFmtId="170" formatCode="_-* #,##0.0,_z_ł_-;\-* #,##0.0,_z_ł_-;_-* \-??\ _z_ł_-;_-@_-"/>
    <numFmt numFmtId="171" formatCode="0.0000000000000"/>
    <numFmt numFmtId="172" formatCode="#,##0.0"/>
    <numFmt numFmtId="173" formatCode="0.00000"/>
  </numFmts>
  <fonts count="39" x14ac:knownFonts="1">
    <font>
      <sz val="11"/>
      <color rgb="FF000000"/>
      <name val="Calibri"/>
      <family val="2"/>
      <charset val="1"/>
    </font>
    <font>
      <sz val="9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1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4F622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8DB3E2"/>
        <bgColor rgb="FFA6A6A6"/>
      </patternFill>
    </fill>
    <fill>
      <patternFill patternType="solid">
        <fgColor rgb="FFFFFF00"/>
        <bgColor rgb="FFFFFF99"/>
      </patternFill>
    </fill>
    <fill>
      <patternFill patternType="solid">
        <fgColor rgb="FFDBE5F1"/>
        <bgColor rgb="FFDCE6F2"/>
      </patternFill>
    </fill>
    <fill>
      <patternFill patternType="solid">
        <fgColor rgb="FFB7DEE8"/>
        <bgColor rgb="FFB9CDE5"/>
      </patternFill>
    </fill>
    <fill>
      <patternFill patternType="solid">
        <fgColor rgb="FFFAC090"/>
        <bgColor rgb="FFFCD5B5"/>
      </patternFill>
    </fill>
    <fill>
      <patternFill patternType="solid">
        <fgColor rgb="FFFFFFFF"/>
        <bgColor rgb="FFFDEADA"/>
      </patternFill>
    </fill>
    <fill>
      <patternFill patternType="solid">
        <fgColor rgb="FFA6A6A6"/>
        <bgColor rgb="FFBFBFBF"/>
      </patternFill>
    </fill>
    <fill>
      <patternFill patternType="solid">
        <fgColor rgb="FFFF99CC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FCD5B5"/>
        <bgColor rgb="FFFDEADA"/>
      </patternFill>
    </fill>
    <fill>
      <patternFill patternType="solid">
        <fgColor rgb="FFFDEADA"/>
        <bgColor rgb="FFE6E0EC"/>
      </patternFill>
    </fill>
    <fill>
      <patternFill patternType="solid">
        <fgColor rgb="FFCCC1DA"/>
        <bgColor rgb="FFC0C0C0"/>
      </patternFill>
    </fill>
    <fill>
      <patternFill patternType="solid">
        <fgColor rgb="FFE6E0EC"/>
        <bgColor rgb="FFDBE5F1"/>
      </patternFill>
    </fill>
    <fill>
      <patternFill patternType="solid">
        <fgColor rgb="FFC3D69B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5F1"/>
      </patternFill>
    </fill>
    <fill>
      <patternFill patternType="solid">
        <fgColor rgb="FFB9CDE5"/>
        <bgColor rgb="FFB7DEE8"/>
      </patternFill>
    </fill>
    <fill>
      <patternFill patternType="solid">
        <fgColor rgb="FFFFFF99"/>
        <bgColor rgb="FFFDEADA"/>
      </patternFill>
    </fill>
    <fill>
      <patternFill patternType="solid">
        <fgColor rgb="FF77933C"/>
        <bgColor rgb="FF4F6228"/>
      </patternFill>
    </fill>
    <fill>
      <patternFill patternType="solid">
        <fgColor rgb="FFD9D9D9"/>
        <bgColor rgb="FFE6E0EC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rgb="FFC3D69B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DEADA"/>
      </patternFill>
    </fill>
    <fill>
      <patternFill patternType="solid">
        <fgColor theme="1"/>
        <bgColor rgb="FF003300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169" fontId="36" fillId="0" borderId="0" applyBorder="0" applyProtection="0"/>
    <xf numFmtId="9" fontId="36" fillId="0" borderId="0" applyBorder="0" applyProtection="0"/>
    <xf numFmtId="0" fontId="1" fillId="0" borderId="0"/>
    <xf numFmtId="44" fontId="36" fillId="0" borderId="0" applyFont="0" applyFill="0" applyBorder="0" applyAlignment="0" applyProtection="0"/>
  </cellStyleXfs>
  <cellXfs count="6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10" fontId="6" fillId="3" borderId="1" xfId="0" applyNumberFormat="1" applyFont="1" applyFill="1" applyBorder="1" applyAlignment="1">
      <alignment horizontal="right"/>
    </xf>
    <xf numFmtId="0" fontId="0" fillId="3" borderId="0" xfId="0" applyFill="1"/>
    <xf numFmtId="10" fontId="0" fillId="3" borderId="0" xfId="0" applyNumberFormat="1" applyFill="1"/>
    <xf numFmtId="10" fontId="0" fillId="0" borderId="0" xfId="0" applyNumberFormat="1" applyBorder="1"/>
    <xf numFmtId="167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5" fillId="5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vertical="center"/>
    </xf>
    <xf numFmtId="4" fontId="0" fillId="3" borderId="0" xfId="0" applyNumberFormat="1" applyFill="1"/>
    <xf numFmtId="3" fontId="5" fillId="7" borderId="1" xfId="0" applyNumberFormat="1" applyFont="1" applyFill="1" applyBorder="1" applyAlignment="1">
      <alignment horizontal="right" vertical="center"/>
    </xf>
    <xf numFmtId="166" fontId="5" fillId="7" borderId="1" xfId="0" applyNumberFormat="1" applyFont="1" applyFill="1" applyBorder="1" applyAlignment="1">
      <alignment vertical="center"/>
    </xf>
    <xf numFmtId="10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2" fontId="0" fillId="0" borderId="0" xfId="0" applyNumberFormat="1" applyBorder="1"/>
    <xf numFmtId="0" fontId="4" fillId="0" borderId="0" xfId="0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/>
    <xf numFmtId="2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horizontal="right" vertical="center"/>
    </xf>
    <xf numFmtId="166" fontId="5" fillId="8" borderId="1" xfId="0" applyNumberFormat="1" applyFont="1" applyFill="1" applyBorder="1" applyAlignment="1">
      <alignment horizontal="right" vertical="center"/>
    </xf>
    <xf numFmtId="10" fontId="0" fillId="0" borderId="0" xfId="0" applyNumberFormat="1"/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3" fontId="9" fillId="0" borderId="0" xfId="0" applyNumberFormat="1" applyFont="1"/>
    <xf numFmtId="0" fontId="9" fillId="0" borderId="0" xfId="0" applyFont="1" applyBorder="1"/>
    <xf numFmtId="168" fontId="0" fillId="0" borderId="0" xfId="0" applyNumberFormat="1"/>
    <xf numFmtId="9" fontId="0" fillId="0" borderId="0" xfId="0" applyNumberFormat="1"/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/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" fontId="8" fillId="0" borderId="0" xfId="0" applyNumberFormat="1" applyFont="1"/>
    <xf numFmtId="1" fontId="0" fillId="0" borderId="0" xfId="0" applyNumberForma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170" fontId="9" fillId="0" borderId="0" xfId="1" applyNumberFormat="1" applyFont="1" applyBorder="1" applyAlignment="1" applyProtection="1">
      <alignment horizontal="left"/>
    </xf>
    <xf numFmtId="170" fontId="12" fillId="0" borderId="0" xfId="1" applyNumberFormat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Alignment="1"/>
    <xf numFmtId="3" fontId="9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3" fontId="15" fillId="9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7" borderId="0" xfId="0" applyFont="1" applyFill="1" applyBorder="1" applyAlignment="1">
      <alignment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9" fillId="0" borderId="0" xfId="0" applyNumberFormat="1" applyFont="1" applyBorder="1" applyAlignment="1">
      <alignment vertical="center"/>
    </xf>
    <xf numFmtId="3" fontId="4" fillId="7" borderId="0" xfId="0" applyNumberFormat="1" applyFont="1" applyFill="1" applyBorder="1" applyAlignment="1">
      <alignment horizontal="right" vertical="center" wrapText="1"/>
    </xf>
    <xf numFmtId="49" fontId="15" fillId="10" borderId="3" xfId="0" applyNumberFormat="1" applyFont="1" applyFill="1" applyBorder="1" applyAlignment="1">
      <alignment horizontal="left" vertical="center"/>
    </xf>
    <xf numFmtId="49" fontId="15" fillId="10" borderId="3" xfId="0" applyNumberFormat="1" applyFont="1" applyFill="1" applyBorder="1" applyAlignment="1">
      <alignment horizontal="center" vertical="center" wrapText="1"/>
    </xf>
    <xf numFmtId="49" fontId="15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10" borderId="0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Border="1"/>
    <xf numFmtId="165" fontId="0" fillId="0" borderId="0" xfId="0" applyNumberFormat="1" applyBorder="1"/>
    <xf numFmtId="49" fontId="15" fillId="9" borderId="3" xfId="0" applyNumberFormat="1" applyFont="1" applyFill="1" applyBorder="1" applyAlignment="1">
      <alignment horizontal="left" vertical="center"/>
    </xf>
    <xf numFmtId="49" fontId="15" fillId="9" borderId="3" xfId="0" applyNumberFormat="1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left" vertical="center" wrapText="1"/>
    </xf>
    <xf numFmtId="1" fontId="8" fillId="0" borderId="0" xfId="0" applyNumberFormat="1" applyFont="1"/>
    <xf numFmtId="173" fontId="0" fillId="0" borderId="0" xfId="0" applyNumberFormat="1" applyBorder="1" applyAlignment="1">
      <alignment horizontal="right" vertical="top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9" fontId="0" fillId="0" borderId="0" xfId="2" applyFont="1"/>
    <xf numFmtId="0" fontId="17" fillId="0" borderId="0" xfId="0" applyFont="1"/>
    <xf numFmtId="10" fontId="17" fillId="0" borderId="0" xfId="2" applyNumberFormat="1" applyFont="1" applyBorder="1" applyAlignment="1" applyProtection="1"/>
    <xf numFmtId="0" fontId="0" fillId="0" borderId="0" xfId="0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0" fontId="17" fillId="0" borderId="1" xfId="2" applyNumberFormat="1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11" borderId="1" xfId="0" applyNumberFormat="1" applyFont="1" applyFill="1" applyBorder="1"/>
    <xf numFmtId="4" fontId="0" fillId="11" borderId="1" xfId="0" applyNumberFormat="1" applyFill="1" applyBorder="1"/>
    <xf numFmtId="10" fontId="0" fillId="11" borderId="1" xfId="2" applyNumberFormat="1" applyFont="1" applyFill="1" applyBorder="1" applyAlignment="1" applyProtection="1"/>
    <xf numFmtId="0" fontId="0" fillId="11" borderId="1" xfId="0" applyFill="1" applyBorder="1"/>
    <xf numFmtId="3" fontId="18" fillId="0" borderId="0" xfId="3" applyNumberFormat="1" applyFont="1" applyBorder="1" applyAlignment="1" applyProtection="1"/>
    <xf numFmtId="2" fontId="19" fillId="0" borderId="0" xfId="0" applyNumberFormat="1" applyFont="1" applyBorder="1" applyAlignment="1">
      <alignment vertical="top" wrapText="1"/>
    </xf>
    <xf numFmtId="0" fontId="9" fillId="7" borderId="0" xfId="0" applyFont="1" applyFill="1" applyBorder="1" applyAlignment="1">
      <alignment horizontal="center" vertical="center" wrapText="1"/>
    </xf>
    <xf numFmtId="49" fontId="0" fillId="11" borderId="1" xfId="0" applyNumberFormat="1" applyFont="1" applyFill="1" applyBorder="1" applyAlignment="1">
      <alignment horizontal="left"/>
    </xf>
    <xf numFmtId="49" fontId="0" fillId="12" borderId="1" xfId="0" applyNumberFormat="1" applyFill="1" applyBorder="1"/>
    <xf numFmtId="49" fontId="3" fillId="12" borderId="1" xfId="0" applyNumberFormat="1" applyFont="1" applyFill="1" applyBorder="1"/>
    <xf numFmtId="3" fontId="3" fillId="12" borderId="1" xfId="0" applyNumberFormat="1" applyFont="1" applyFill="1" applyBorder="1"/>
    <xf numFmtId="10" fontId="0" fillId="12" borderId="1" xfId="2" applyNumberFormat="1" applyFont="1" applyFill="1" applyBorder="1" applyAlignment="1" applyProtection="1"/>
    <xf numFmtId="3" fontId="0" fillId="12" borderId="1" xfId="0" applyNumberFormat="1" applyFill="1" applyBorder="1"/>
    <xf numFmtId="0" fontId="8" fillId="12" borderId="1" xfId="0" applyFont="1" applyFill="1" applyBorder="1" applyAlignment="1">
      <alignment vertical="center"/>
    </xf>
    <xf numFmtId="49" fontId="3" fillId="12" borderId="1" xfId="0" applyNumberFormat="1" applyFont="1" applyFill="1" applyBorder="1" applyAlignment="1">
      <alignment wrapText="1"/>
    </xf>
    <xf numFmtId="3" fontId="7" fillId="12" borderId="1" xfId="0" applyNumberFormat="1" applyFont="1" applyFill="1" applyBorder="1"/>
    <xf numFmtId="3" fontId="2" fillId="12" borderId="1" xfId="0" applyNumberFormat="1" applyFont="1" applyFill="1" applyBorder="1" applyAlignment="1">
      <alignment horizontal="right" vertical="center"/>
    </xf>
    <xf numFmtId="10" fontId="0" fillId="12" borderId="1" xfId="2" applyNumberFormat="1" applyFont="1" applyFill="1" applyBorder="1" applyAlignment="1" applyProtection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49" fontId="0" fillId="13" borderId="1" xfId="0" applyNumberFormat="1" applyFont="1" applyFill="1" applyBorder="1" applyAlignment="1">
      <alignment vertical="top"/>
    </xf>
    <xf numFmtId="49" fontId="0" fillId="13" borderId="1" xfId="0" applyNumberFormat="1" applyFont="1" applyFill="1" applyBorder="1"/>
    <xf numFmtId="4" fontId="0" fillId="13" borderId="1" xfId="0" applyNumberFormat="1" applyFill="1" applyBorder="1"/>
    <xf numFmtId="10" fontId="0" fillId="13" borderId="1" xfId="2" applyNumberFormat="1" applyFont="1" applyFill="1" applyBorder="1" applyAlignment="1" applyProtection="1"/>
    <xf numFmtId="0" fontId="0" fillId="13" borderId="1" xfId="0" applyFill="1" applyBorder="1"/>
    <xf numFmtId="3" fontId="8" fillId="14" borderId="2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/>
    </xf>
    <xf numFmtId="49" fontId="0" fillId="14" borderId="1" xfId="0" applyNumberFormat="1" applyFill="1" applyBorder="1"/>
    <xf numFmtId="49" fontId="3" fillId="14" borderId="1" xfId="0" applyNumberFormat="1" applyFont="1" applyFill="1" applyBorder="1"/>
    <xf numFmtId="3" fontId="3" fillId="14" borderId="1" xfId="0" applyNumberFormat="1" applyFont="1" applyFill="1" applyBorder="1"/>
    <xf numFmtId="10" fontId="0" fillId="14" borderId="1" xfId="2" applyNumberFormat="1" applyFont="1" applyFill="1" applyBorder="1" applyAlignment="1" applyProtection="1"/>
    <xf numFmtId="3" fontId="0" fillId="14" borderId="1" xfId="0" applyNumberFormat="1" applyFill="1" applyBorder="1"/>
    <xf numFmtId="0" fontId="0" fillId="14" borderId="1" xfId="0" applyFill="1" applyBorder="1"/>
    <xf numFmtId="49" fontId="3" fillId="14" borderId="1" xfId="0" applyNumberFormat="1" applyFont="1" applyFill="1" applyBorder="1" applyAlignment="1">
      <alignment wrapText="1"/>
    </xf>
    <xf numFmtId="3" fontId="20" fillId="14" borderId="1" xfId="0" applyNumberFormat="1" applyFont="1" applyFill="1" applyBorder="1"/>
    <xf numFmtId="49" fontId="0" fillId="15" borderId="1" xfId="0" applyNumberFormat="1" applyFont="1" applyFill="1" applyBorder="1"/>
    <xf numFmtId="3" fontId="0" fillId="15" borderId="1" xfId="0" applyNumberFormat="1" applyFill="1" applyBorder="1"/>
    <xf numFmtId="3" fontId="0" fillId="15" borderId="1" xfId="0" applyNumberFormat="1" applyFill="1" applyBorder="1" applyAlignment="1">
      <alignment horizontal="right"/>
    </xf>
    <xf numFmtId="10" fontId="0" fillId="15" borderId="1" xfId="2" applyNumberFormat="1" applyFont="1" applyFill="1" applyBorder="1" applyAlignment="1" applyProtection="1"/>
    <xf numFmtId="0" fontId="0" fillId="15" borderId="1" xfId="0" applyFill="1" applyBorder="1"/>
    <xf numFmtId="0" fontId="8" fillId="16" borderId="1" xfId="0" applyFont="1" applyFill="1" applyBorder="1" applyAlignment="1">
      <alignment vertical="center"/>
    </xf>
    <xf numFmtId="49" fontId="0" fillId="16" borderId="1" xfId="0" applyNumberFormat="1" applyFill="1" applyBorder="1"/>
    <xf numFmtId="49" fontId="3" fillId="16" borderId="1" xfId="0" applyNumberFormat="1" applyFont="1" applyFill="1" applyBorder="1"/>
    <xf numFmtId="3" fontId="3" fillId="16" borderId="1" xfId="0" applyNumberFormat="1" applyFont="1" applyFill="1" applyBorder="1"/>
    <xf numFmtId="10" fontId="0" fillId="16" borderId="1" xfId="2" applyNumberFormat="1" applyFont="1" applyFill="1" applyBorder="1" applyAlignment="1" applyProtection="1"/>
    <xf numFmtId="0" fontId="0" fillId="16" borderId="1" xfId="0" applyFill="1" applyBorder="1"/>
    <xf numFmtId="49" fontId="3" fillId="16" borderId="1" xfId="0" applyNumberFormat="1" applyFont="1" applyFill="1" applyBorder="1" applyAlignment="1">
      <alignment wrapText="1"/>
    </xf>
    <xf numFmtId="3" fontId="0" fillId="16" borderId="1" xfId="0" applyNumberFormat="1" applyFill="1" applyBorder="1"/>
    <xf numFmtId="3" fontId="20" fillId="16" borderId="1" xfId="0" applyNumberFormat="1" applyFont="1" applyFill="1" applyBorder="1"/>
    <xf numFmtId="49" fontId="0" fillId="5" borderId="1" xfId="0" applyNumberFormat="1" applyFont="1" applyFill="1" applyBorder="1"/>
    <xf numFmtId="4" fontId="0" fillId="5" borderId="1" xfId="0" applyNumberFormat="1" applyFill="1" applyBorder="1"/>
    <xf numFmtId="10" fontId="0" fillId="5" borderId="1" xfId="2" applyNumberFormat="1" applyFont="1" applyFill="1" applyBorder="1" applyAlignment="1" applyProtection="1"/>
    <xf numFmtId="0" fontId="0" fillId="5" borderId="1" xfId="0" applyFill="1" applyBorder="1"/>
    <xf numFmtId="0" fontId="8" fillId="17" borderId="1" xfId="0" applyFont="1" applyFill="1" applyBorder="1" applyAlignment="1">
      <alignment vertical="center"/>
    </xf>
    <xf numFmtId="49" fontId="0" fillId="17" borderId="1" xfId="0" applyNumberFormat="1" applyFill="1" applyBorder="1"/>
    <xf numFmtId="49" fontId="3" fillId="18" borderId="1" xfId="0" applyNumberFormat="1" applyFont="1" applyFill="1" applyBorder="1"/>
    <xf numFmtId="3" fontId="3" fillId="17" borderId="1" xfId="0" applyNumberFormat="1" applyFont="1" applyFill="1" applyBorder="1"/>
    <xf numFmtId="10" fontId="0" fillId="17" borderId="1" xfId="2" applyNumberFormat="1" applyFont="1" applyFill="1" applyBorder="1" applyAlignment="1" applyProtection="1"/>
    <xf numFmtId="0" fontId="0" fillId="17" borderId="1" xfId="0" applyFill="1" applyBorder="1"/>
    <xf numFmtId="49" fontId="3" fillId="18" borderId="1" xfId="0" applyNumberFormat="1" applyFont="1" applyFill="1" applyBorder="1" applyAlignment="1">
      <alignment wrapText="1"/>
    </xf>
    <xf numFmtId="3" fontId="0" fillId="17" borderId="1" xfId="0" applyNumberFormat="1" applyFill="1" applyBorder="1"/>
    <xf numFmtId="3" fontId="20" fillId="17" borderId="1" xfId="0" applyNumberFormat="1" applyFont="1" applyFill="1" applyBorder="1"/>
    <xf numFmtId="0" fontId="0" fillId="19" borderId="1" xfId="0" applyFill="1" applyBorder="1" applyAlignment="1">
      <alignment horizontal="left" vertical="center"/>
    </xf>
    <xf numFmtId="3" fontId="0" fillId="19" borderId="1" xfId="0" applyNumberFormat="1" applyFill="1" applyBorder="1" applyAlignment="1">
      <alignment horizontal="right" vertical="center"/>
    </xf>
    <xf numFmtId="10" fontId="0" fillId="19" borderId="1" xfId="2" applyNumberFormat="1" applyFont="1" applyFill="1" applyBorder="1" applyAlignment="1" applyProtection="1">
      <alignment horizontal="right" vertical="center"/>
    </xf>
    <xf numFmtId="0" fontId="0" fillId="19" borderId="1" xfId="0" applyFill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0" fillId="18" borderId="1" xfId="0" applyFill="1" applyBorder="1" applyAlignment="1">
      <alignment horizontal="left" vertical="center"/>
    </xf>
    <xf numFmtId="3" fontId="3" fillId="18" borderId="1" xfId="0" applyNumberFormat="1" applyFont="1" applyFill="1" applyBorder="1" applyAlignment="1">
      <alignment horizontal="right" vertical="center"/>
    </xf>
    <xf numFmtId="10" fontId="0" fillId="18" borderId="1" xfId="2" applyNumberFormat="1" applyFont="1" applyFill="1" applyBorder="1" applyAlignment="1" applyProtection="1">
      <alignment horizontal="center" vertical="center"/>
    </xf>
    <xf numFmtId="0" fontId="0" fillId="18" borderId="1" xfId="0" applyFill="1" applyBorder="1" applyAlignment="1">
      <alignment horizontal="center" vertical="center"/>
    </xf>
    <xf numFmtId="3" fontId="0" fillId="18" borderId="1" xfId="0" applyNumberFormat="1" applyFill="1" applyBorder="1" applyAlignment="1">
      <alignment horizontal="right" vertical="center"/>
    </xf>
    <xf numFmtId="3" fontId="20" fillId="18" borderId="1" xfId="0" applyNumberFormat="1" applyFont="1" applyFill="1" applyBorder="1" applyAlignment="1">
      <alignment horizontal="right" vertical="center"/>
    </xf>
    <xf numFmtId="0" fontId="0" fillId="20" borderId="1" xfId="0" applyFill="1" applyBorder="1" applyAlignment="1">
      <alignment horizontal="left" vertical="center"/>
    </xf>
    <xf numFmtId="3" fontId="3" fillId="20" borderId="1" xfId="0" applyNumberFormat="1" applyFont="1" applyFill="1" applyBorder="1" applyAlignment="1">
      <alignment horizontal="right" vertical="center"/>
    </xf>
    <xf numFmtId="10" fontId="0" fillId="20" borderId="1" xfId="2" applyNumberFormat="1" applyFont="1" applyFill="1" applyBorder="1" applyAlignment="1" applyProtection="1">
      <alignment horizontal="center" vertical="center"/>
    </xf>
    <xf numFmtId="0" fontId="0" fillId="20" borderId="1" xfId="0" applyFill="1" applyBorder="1" applyAlignment="1">
      <alignment horizontal="center" vertical="center"/>
    </xf>
    <xf numFmtId="3" fontId="8" fillId="20" borderId="1" xfId="0" applyNumberFormat="1" applyFont="1" applyFill="1" applyBorder="1" applyAlignment="1">
      <alignment horizontal="right" vertical="center"/>
    </xf>
    <xf numFmtId="3" fontId="17" fillId="2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wrapText="1"/>
    </xf>
    <xf numFmtId="3" fontId="0" fillId="7" borderId="0" xfId="0" applyNumberFormat="1" applyFill="1" applyBorder="1" applyAlignment="1">
      <alignment horizontal="right" vertical="center"/>
    </xf>
    <xf numFmtId="1" fontId="19" fillId="0" borderId="0" xfId="0" applyNumberFormat="1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3" fontId="0" fillId="21" borderId="1" xfId="0" applyNumberFormat="1" applyFont="1" applyFill="1" applyBorder="1" applyAlignment="1">
      <alignment wrapText="1"/>
    </xf>
    <xf numFmtId="0" fontId="0" fillId="21" borderId="1" xfId="0" applyFont="1" applyFill="1" applyBorder="1"/>
    <xf numFmtId="10" fontId="0" fillId="21" borderId="1" xfId="2" applyNumberFormat="1" applyFont="1" applyFill="1" applyBorder="1" applyAlignment="1" applyProtection="1"/>
    <xf numFmtId="49" fontId="8" fillId="0" borderId="1" xfId="0" applyNumberFormat="1" applyFont="1" applyBorder="1" applyAlignment="1">
      <alignment horizontal="left" vertical="top" wrapText="1"/>
    </xf>
    <xf numFmtId="2" fontId="19" fillId="0" borderId="1" xfId="0" applyNumberFormat="1" applyFont="1" applyBorder="1" applyAlignment="1">
      <alignment vertical="top" wrapText="1"/>
    </xf>
    <xf numFmtId="0" fontId="0" fillId="0" borderId="1" xfId="0" applyBorder="1"/>
    <xf numFmtId="3" fontId="21" fillId="0" borderId="1" xfId="3" applyNumberFormat="1" applyFont="1" applyBorder="1" applyAlignment="1" applyProtection="1"/>
    <xf numFmtId="3" fontId="0" fillId="0" borderId="1" xfId="0" applyNumberFormat="1" applyBorder="1"/>
    <xf numFmtId="169" fontId="36" fillId="0" borderId="1" xfId="1" applyBorder="1" applyProtection="1"/>
    <xf numFmtId="10" fontId="0" fillId="0" borderId="1" xfId="2" applyNumberFormat="1" applyFont="1" applyBorder="1" applyAlignment="1" applyProtection="1"/>
    <xf numFmtId="0" fontId="22" fillId="15" borderId="1" xfId="0" applyFont="1" applyFill="1" applyBorder="1"/>
    <xf numFmtId="3" fontId="22" fillId="0" borderId="1" xfId="0" applyNumberFormat="1" applyFont="1" applyBorder="1"/>
    <xf numFmtId="10" fontId="22" fillId="0" borderId="1" xfId="2" applyNumberFormat="1" applyFont="1" applyBorder="1" applyAlignment="1" applyProtection="1"/>
    <xf numFmtId="0" fontId="23" fillId="0" borderId="1" xfId="0" applyFont="1" applyBorder="1"/>
    <xf numFmtId="3" fontId="24" fillId="0" borderId="1" xfId="3" applyNumberFormat="1" applyFont="1" applyBorder="1" applyAlignment="1" applyProtection="1"/>
    <xf numFmtId="0" fontId="8" fillId="0" borderId="0" xfId="0" applyFont="1" applyAlignment="1">
      <alignment horizontal="right"/>
    </xf>
    <xf numFmtId="0" fontId="8" fillId="22" borderId="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2" fontId="0" fillId="0" borderId="0" xfId="0" applyNumberFormat="1"/>
    <xf numFmtId="2" fontId="8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8" fillId="23" borderId="1" xfId="0" applyFont="1" applyFill="1" applyBorder="1" applyAlignment="1">
      <alignment horizontal="center" vertical="center"/>
    </xf>
    <xf numFmtId="3" fontId="8" fillId="23" borderId="1" xfId="0" applyNumberFormat="1" applyFont="1" applyFill="1" applyBorder="1" applyAlignment="1">
      <alignment horizontal="right" vertical="center"/>
    </xf>
    <xf numFmtId="3" fontId="19" fillId="23" borderId="1" xfId="0" applyNumberFormat="1" applyFont="1" applyFill="1" applyBorder="1" applyAlignment="1">
      <alignment horizontal="right" vertical="center"/>
    </xf>
    <xf numFmtId="10" fontId="8" fillId="23" borderId="1" xfId="0" applyNumberFormat="1" applyFont="1" applyFill="1" applyBorder="1" applyAlignment="1">
      <alignment vertical="center"/>
    </xf>
    <xf numFmtId="0" fontId="8" fillId="23" borderId="1" xfId="0" applyFont="1" applyFill="1" applyBorder="1" applyAlignment="1">
      <alignment horizontal="center" vertical="center" wrapText="1"/>
    </xf>
    <xf numFmtId="0" fontId="1" fillId="0" borderId="0" xfId="3"/>
    <xf numFmtId="0" fontId="8" fillId="0" borderId="0" xfId="3" applyFont="1" applyAlignment="1"/>
    <xf numFmtId="0" fontId="0" fillId="0" borderId="0" xfId="0" applyAlignment="1">
      <alignment horizontal="right"/>
    </xf>
    <xf numFmtId="0" fontId="27" fillId="0" borderId="20" xfId="3" applyFont="1" applyBorder="1" applyAlignment="1">
      <alignment vertical="center" wrapText="1"/>
    </xf>
    <xf numFmtId="3" fontId="27" fillId="0" borderId="12" xfId="3" applyNumberFormat="1" applyFont="1" applyBorder="1" applyAlignment="1">
      <alignment horizontal="right" vertical="center" wrapText="1"/>
    </xf>
    <xf numFmtId="3" fontId="27" fillId="0" borderId="32" xfId="3" applyNumberFormat="1" applyFont="1" applyBorder="1" applyAlignment="1">
      <alignment horizontal="right" vertical="center" wrapText="1"/>
    </xf>
    <xf numFmtId="0" fontId="27" fillId="0" borderId="33" xfId="3" applyFont="1" applyBorder="1" applyAlignment="1">
      <alignment horizontal="right" vertical="center" wrapText="1"/>
    </xf>
    <xf numFmtId="3" fontId="27" fillId="0" borderId="34" xfId="3" applyNumberFormat="1" applyFont="1" applyBorder="1" applyAlignment="1">
      <alignment horizontal="right" vertical="center" wrapText="1"/>
    </xf>
    <xf numFmtId="0" fontId="27" fillId="0" borderId="35" xfId="3" applyFont="1" applyBorder="1" applyAlignment="1">
      <alignment horizontal="right" vertical="center" wrapText="1"/>
    </xf>
    <xf numFmtId="0" fontId="27" fillId="7" borderId="32" xfId="3" applyFont="1" applyFill="1" applyBorder="1" applyAlignment="1">
      <alignment horizontal="right" vertical="center" wrapText="1"/>
    </xf>
    <xf numFmtId="0" fontId="27" fillId="7" borderId="36" xfId="3" applyFont="1" applyFill="1" applyBorder="1" applyAlignment="1">
      <alignment horizontal="right" vertical="center" wrapText="1"/>
    </xf>
    <xf numFmtId="0" fontId="27" fillId="7" borderId="37" xfId="3" applyFont="1" applyFill="1" applyBorder="1" applyAlignment="1">
      <alignment horizontal="right" vertical="center" wrapText="1"/>
    </xf>
    <xf numFmtId="3" fontId="27" fillId="0" borderId="38" xfId="3" applyNumberFormat="1" applyFont="1" applyBorder="1" applyAlignment="1">
      <alignment horizontal="right" vertical="center" wrapText="1"/>
    </xf>
    <xf numFmtId="3" fontId="27" fillId="0" borderId="8" xfId="3" applyNumberFormat="1" applyFont="1" applyBorder="1" applyAlignment="1">
      <alignment horizontal="right" vertical="center" wrapText="1"/>
    </xf>
    <xf numFmtId="2" fontId="27" fillId="0" borderId="8" xfId="3" applyNumberFormat="1" applyFont="1" applyBorder="1" applyAlignment="1">
      <alignment horizontal="right" vertical="center" wrapText="1"/>
    </xf>
    <xf numFmtId="3" fontId="27" fillId="0" borderId="40" xfId="3" applyNumberFormat="1" applyFont="1" applyBorder="1" applyAlignment="1">
      <alignment horizontal="right" vertical="center" wrapText="1"/>
    </xf>
    <xf numFmtId="0" fontId="27" fillId="0" borderId="39" xfId="3" applyFont="1" applyBorder="1" applyAlignment="1">
      <alignment horizontal="right" vertical="center" wrapText="1"/>
    </xf>
    <xf numFmtId="0" fontId="19" fillId="0" borderId="0" xfId="3" applyFont="1"/>
    <xf numFmtId="3" fontId="27" fillId="0" borderId="1" xfId="0" applyNumberFormat="1" applyFont="1" applyBorder="1" applyAlignment="1">
      <alignment horizontal="right" vertical="center"/>
    </xf>
    <xf numFmtId="10" fontId="19" fillId="0" borderId="0" xfId="2" applyNumberFormat="1" applyFont="1" applyBorder="1" applyAlignment="1" applyProtection="1"/>
    <xf numFmtId="3" fontId="27" fillId="0" borderId="1" xfId="3" applyNumberFormat="1" applyFont="1" applyBorder="1" applyAlignment="1">
      <alignment horizontal="right" vertical="center" wrapText="1"/>
    </xf>
    <xf numFmtId="0" fontId="27" fillId="0" borderId="22" xfId="3" applyFont="1" applyBorder="1" applyAlignment="1">
      <alignment horizontal="right" vertical="center" wrapText="1"/>
    </xf>
    <xf numFmtId="3" fontId="27" fillId="7" borderId="1" xfId="3" applyNumberFormat="1" applyFont="1" applyFill="1" applyBorder="1" applyAlignment="1">
      <alignment horizontal="right" vertical="center" wrapText="1"/>
    </xf>
    <xf numFmtId="3" fontId="19" fillId="0" borderId="0" xfId="3" applyNumberFormat="1" applyFont="1"/>
    <xf numFmtId="0" fontId="27" fillId="0" borderId="41" xfId="3" applyFont="1" applyBorder="1" applyAlignment="1">
      <alignment horizontal="right" vertical="center" wrapText="1"/>
    </xf>
    <xf numFmtId="4" fontId="19" fillId="0" borderId="0" xfId="3" applyNumberFormat="1" applyFont="1"/>
    <xf numFmtId="1" fontId="19" fillId="0" borderId="0" xfId="3" applyNumberFormat="1" applyFont="1"/>
    <xf numFmtId="0" fontId="28" fillId="7" borderId="1" xfId="3" applyFont="1" applyFill="1" applyBorder="1" applyAlignment="1">
      <alignment horizontal="right" vertical="center" wrapText="1"/>
    </xf>
    <xf numFmtId="0" fontId="19" fillId="7" borderId="0" xfId="3" applyFont="1" applyFill="1"/>
    <xf numFmtId="0" fontId="28" fillId="0" borderId="1" xfId="3" applyFont="1" applyBorder="1" applyAlignment="1">
      <alignment horizontal="right" vertical="center" wrapText="1"/>
    </xf>
    <xf numFmtId="3" fontId="5" fillId="7" borderId="1" xfId="3" applyNumberFormat="1" applyFont="1" applyFill="1" applyBorder="1" applyAlignment="1">
      <alignment horizontal="right" vertical="center" wrapText="1"/>
    </xf>
    <xf numFmtId="2" fontId="27" fillId="7" borderId="1" xfId="3" applyNumberFormat="1" applyFont="1" applyFill="1" applyBorder="1" applyAlignment="1">
      <alignment horizontal="right" vertical="center" wrapText="1"/>
    </xf>
    <xf numFmtId="0" fontId="27" fillId="7" borderId="8" xfId="3" applyFont="1" applyFill="1" applyBorder="1" applyAlignment="1">
      <alignment horizontal="right" vertical="center" wrapText="1"/>
    </xf>
    <xf numFmtId="3" fontId="27" fillId="24" borderId="1" xfId="3" applyNumberFormat="1" applyFont="1" applyFill="1" applyBorder="1" applyAlignment="1">
      <alignment horizontal="right" vertical="center" wrapText="1"/>
    </xf>
    <xf numFmtId="4" fontId="27" fillId="24" borderId="1" xfId="3" applyNumberFormat="1" applyFont="1" applyFill="1" applyBorder="1" applyAlignment="1">
      <alignment horizontal="right" vertical="center" wrapText="1"/>
    </xf>
    <xf numFmtId="3" fontId="28" fillId="24" borderId="1" xfId="3" applyNumberFormat="1" applyFont="1" applyFill="1" applyBorder="1" applyAlignment="1">
      <alignment horizontal="right" vertical="center" wrapText="1"/>
    </xf>
    <xf numFmtId="0" fontId="31" fillId="0" borderId="0" xfId="3" applyFont="1"/>
    <xf numFmtId="169" fontId="32" fillId="0" borderId="0" xfId="1" applyFont="1" applyBorder="1" applyProtection="1"/>
    <xf numFmtId="0" fontId="32" fillId="0" borderId="0" xfId="0" applyFont="1" applyAlignment="1">
      <alignment horizontal="center" vertical="center"/>
    </xf>
    <xf numFmtId="2" fontId="27" fillId="0" borderId="1" xfId="3" applyNumberFormat="1" applyFont="1" applyBorder="1" applyAlignment="1">
      <alignment horizontal="right" vertical="center" wrapText="1"/>
    </xf>
    <xf numFmtId="9" fontId="31" fillId="0" borderId="0" xfId="2" applyFont="1" applyBorder="1" applyAlignment="1" applyProtection="1">
      <alignment horizontal="center" vertical="center"/>
    </xf>
    <xf numFmtId="3" fontId="31" fillId="0" borderId="0" xfId="3" applyNumberFormat="1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19" fillId="0" borderId="44" xfId="3" applyFont="1" applyBorder="1"/>
    <xf numFmtId="0" fontId="19" fillId="0" borderId="0" xfId="3" applyFont="1" applyBorder="1"/>
    <xf numFmtId="169" fontId="36" fillId="0" borderId="0" xfId="1"/>
    <xf numFmtId="3" fontId="0" fillId="25" borderId="0" xfId="0" applyNumberFormat="1" applyFill="1"/>
    <xf numFmtId="169" fontId="0" fillId="0" borderId="46" xfId="1" applyFont="1" applyBorder="1" applyAlignment="1" applyProtection="1">
      <alignment horizontal="center" vertical="center" wrapText="1"/>
    </xf>
    <xf numFmtId="169" fontId="0" fillId="0" borderId="45" xfId="1" applyFont="1" applyBorder="1" applyAlignment="1" applyProtection="1">
      <alignment horizontal="center" vertical="center" wrapText="1"/>
    </xf>
    <xf numFmtId="0" fontId="0" fillId="25" borderId="0" xfId="0" applyFill="1"/>
    <xf numFmtId="9" fontId="0" fillId="0" borderId="49" xfId="2" applyFont="1" applyBorder="1" applyAlignment="1" applyProtection="1">
      <alignment horizontal="center"/>
    </xf>
    <xf numFmtId="169" fontId="36" fillId="0" borderId="46" xfId="1" applyBorder="1" applyAlignment="1" applyProtection="1">
      <alignment horizontal="center" vertical="center"/>
    </xf>
    <xf numFmtId="0" fontId="0" fillId="25" borderId="50" xfId="0" applyFont="1" applyFill="1" applyBorder="1"/>
    <xf numFmtId="0" fontId="0" fillId="25" borderId="51" xfId="0" applyFill="1" applyBorder="1" applyAlignment="1">
      <alignment horizontal="center" vertical="center"/>
    </xf>
    <xf numFmtId="169" fontId="36" fillId="0" borderId="52" xfId="1" applyBorder="1" applyAlignment="1" applyProtection="1">
      <alignment horizontal="center" vertical="center"/>
    </xf>
    <xf numFmtId="9" fontId="0" fillId="25" borderId="50" xfId="2" applyFont="1" applyFill="1" applyBorder="1" applyAlignment="1" applyProtection="1">
      <alignment horizontal="center" vertical="center"/>
    </xf>
    <xf numFmtId="169" fontId="36" fillId="0" borderId="50" xfId="1" applyBorder="1" applyAlignment="1" applyProtection="1">
      <alignment horizontal="center" vertical="center"/>
    </xf>
    <xf numFmtId="9" fontId="0" fillId="11" borderId="50" xfId="2" applyFont="1" applyFill="1" applyBorder="1" applyAlignment="1" applyProtection="1">
      <alignment horizontal="center" vertical="center"/>
    </xf>
    <xf numFmtId="169" fontId="36" fillId="0" borderId="51" xfId="1" applyBorder="1" applyAlignment="1" applyProtection="1">
      <alignment horizontal="center" vertical="center"/>
    </xf>
    <xf numFmtId="0" fontId="0" fillId="25" borderId="53" xfId="0" applyFont="1" applyFill="1" applyBorder="1"/>
    <xf numFmtId="0" fontId="0" fillId="25" borderId="54" xfId="0" applyFill="1" applyBorder="1" applyAlignment="1">
      <alignment horizontal="center" vertical="center"/>
    </xf>
    <xf numFmtId="169" fontId="36" fillId="0" borderId="55" xfId="1" applyBorder="1" applyAlignment="1" applyProtection="1">
      <alignment horizontal="center" vertical="center"/>
    </xf>
    <xf numFmtId="9" fontId="0" fillId="25" borderId="53" xfId="2" applyFont="1" applyFill="1" applyBorder="1" applyAlignment="1" applyProtection="1">
      <alignment horizontal="center" vertical="center"/>
    </xf>
    <xf numFmtId="169" fontId="36" fillId="0" borderId="53" xfId="1" applyBorder="1" applyAlignment="1" applyProtection="1">
      <alignment horizontal="center" vertical="center"/>
    </xf>
    <xf numFmtId="9" fontId="0" fillId="11" borderId="53" xfId="2" applyFont="1" applyFill="1" applyBorder="1" applyAlignment="1" applyProtection="1">
      <alignment horizontal="center" vertical="center"/>
    </xf>
    <xf numFmtId="169" fontId="36" fillId="0" borderId="54" xfId="1" applyBorder="1" applyAlignment="1" applyProtection="1">
      <alignment horizontal="center" vertical="center"/>
    </xf>
    <xf numFmtId="0" fontId="0" fillId="25" borderId="56" xfId="0" applyFont="1" applyFill="1" applyBorder="1"/>
    <xf numFmtId="0" fontId="0" fillId="25" borderId="57" xfId="0" applyFill="1" applyBorder="1" applyAlignment="1">
      <alignment horizontal="center" vertical="center"/>
    </xf>
    <xf numFmtId="169" fontId="36" fillId="0" borderId="58" xfId="1" applyBorder="1" applyAlignment="1" applyProtection="1">
      <alignment horizontal="center" vertical="center"/>
    </xf>
    <xf numFmtId="9" fontId="0" fillId="25" borderId="59" xfId="2" applyFont="1" applyFill="1" applyBorder="1" applyAlignment="1" applyProtection="1">
      <alignment horizontal="center" vertical="center"/>
    </xf>
    <xf numFmtId="169" fontId="36" fillId="0" borderId="59" xfId="1" applyBorder="1" applyAlignment="1" applyProtection="1">
      <alignment horizontal="center" vertical="center"/>
    </xf>
    <xf numFmtId="169" fontId="36" fillId="0" borderId="60" xfId="1" applyBorder="1" applyAlignment="1" applyProtection="1">
      <alignment horizontal="center" vertical="center"/>
    </xf>
    <xf numFmtId="9" fontId="0" fillId="11" borderId="56" xfId="2" applyFont="1" applyFill="1" applyBorder="1" applyAlignment="1" applyProtection="1">
      <alignment horizontal="center" vertical="center"/>
    </xf>
    <xf numFmtId="169" fontId="36" fillId="0" borderId="56" xfId="1" applyBorder="1" applyAlignment="1" applyProtection="1">
      <alignment horizontal="center" vertical="center"/>
    </xf>
    <xf numFmtId="169" fontId="36" fillId="0" borderId="57" xfId="1" applyBorder="1" applyAlignment="1" applyProtection="1">
      <alignment horizontal="center" vertical="center"/>
    </xf>
    <xf numFmtId="169" fontId="36" fillId="0" borderId="49" xfId="1" applyBorder="1" applyAlignment="1" applyProtection="1">
      <alignment horizontal="center" vertical="center"/>
    </xf>
    <xf numFmtId="1" fontId="0" fillId="25" borderId="61" xfId="0" applyNumberFormat="1" applyFill="1" applyBorder="1" applyAlignment="1">
      <alignment horizontal="center" vertical="center"/>
    </xf>
    <xf numFmtId="169" fontId="36" fillId="0" borderId="61" xfId="1" applyBorder="1" applyAlignment="1" applyProtection="1">
      <alignment horizontal="center" vertical="center"/>
    </xf>
    <xf numFmtId="9" fontId="0" fillId="25" borderId="47" xfId="2" applyFont="1" applyFill="1" applyBorder="1" applyAlignment="1" applyProtection="1">
      <alignment horizontal="center" vertical="center"/>
    </xf>
    <xf numFmtId="169" fontId="36" fillId="0" borderId="62" xfId="1" applyBorder="1" applyAlignment="1" applyProtection="1">
      <alignment horizontal="center" vertical="center"/>
    </xf>
    <xf numFmtId="1" fontId="0" fillId="11" borderId="63" xfId="0" applyNumberFormat="1" applyFill="1" applyBorder="1" applyAlignment="1">
      <alignment horizontal="center" vertical="center"/>
    </xf>
    <xf numFmtId="169" fontId="36" fillId="0" borderId="63" xfId="1" applyBorder="1" applyAlignment="1" applyProtection="1">
      <alignment horizontal="center" vertical="center"/>
    </xf>
    <xf numFmtId="169" fontId="36" fillId="0" borderId="64" xfId="1" applyBorder="1" applyAlignment="1" applyProtection="1">
      <alignment horizontal="center" vertical="center"/>
    </xf>
    <xf numFmtId="9" fontId="0" fillId="11" borderId="47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65" xfId="1" applyFont="1" applyBorder="1" applyAlignment="1" applyProtection="1">
      <alignment horizontal="center" vertical="center" wrapText="1"/>
    </xf>
    <xf numFmtId="169" fontId="0" fillId="0" borderId="66" xfId="1" applyFont="1" applyBorder="1" applyAlignment="1" applyProtection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169" fontId="36" fillId="0" borderId="61" xfId="1" applyBorder="1" applyProtection="1"/>
    <xf numFmtId="169" fontId="36" fillId="0" borderId="68" xfId="1" applyBorder="1" applyAlignment="1" applyProtection="1">
      <alignment horizontal="center" vertical="center"/>
    </xf>
    <xf numFmtId="169" fontId="36" fillId="0" borderId="69" xfId="1" applyBorder="1" applyAlignment="1" applyProtection="1">
      <alignment horizontal="center" vertical="center"/>
    </xf>
    <xf numFmtId="9" fontId="0" fillId="0" borderId="70" xfId="2" applyFont="1" applyBorder="1" applyAlignment="1" applyProtection="1">
      <alignment horizontal="center" vertical="center"/>
    </xf>
    <xf numFmtId="169" fontId="0" fillId="0" borderId="49" xfId="1" applyFont="1" applyBorder="1" applyAlignment="1" applyProtection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9" fontId="0" fillId="0" borderId="61" xfId="1" applyFont="1" applyBorder="1" applyAlignment="1" applyProtection="1">
      <alignment horizontal="center" vertical="center" wrapText="1"/>
    </xf>
    <xf numFmtId="0" fontId="0" fillId="25" borderId="71" xfId="0" applyFill="1" applyBorder="1" applyAlignment="1">
      <alignment horizontal="center" vertical="center"/>
    </xf>
    <xf numFmtId="169" fontId="36" fillId="0" borderId="72" xfId="1" applyBorder="1" applyProtection="1"/>
    <xf numFmtId="9" fontId="0" fillId="11" borderId="73" xfId="2" applyFont="1" applyFill="1" applyBorder="1" applyAlignment="1" applyProtection="1">
      <alignment horizontal="center" vertical="center"/>
    </xf>
    <xf numFmtId="169" fontId="36" fillId="0" borderId="73" xfId="1" applyBorder="1" applyAlignment="1" applyProtection="1">
      <alignment horizontal="center" vertical="center"/>
    </xf>
    <xf numFmtId="169" fontId="36" fillId="0" borderId="55" xfId="1" applyBorder="1" applyProtection="1"/>
    <xf numFmtId="169" fontId="36" fillId="0" borderId="60" xfId="1" applyBorder="1" applyProtection="1"/>
    <xf numFmtId="169" fontId="36" fillId="0" borderId="62" xfId="1" applyBorder="1" applyProtection="1"/>
    <xf numFmtId="9" fontId="0" fillId="11" borderId="64" xfId="2" applyFont="1" applyFill="1" applyBorder="1" applyAlignment="1" applyProtection="1"/>
    <xf numFmtId="9" fontId="0" fillId="0" borderId="61" xfId="2" applyFont="1" applyBorder="1" applyAlignment="1" applyProtection="1">
      <alignment horizontal="center" vertical="center"/>
    </xf>
    <xf numFmtId="0" fontId="0" fillId="25" borderId="52" xfId="0" applyFont="1" applyFill="1" applyBorder="1"/>
    <xf numFmtId="0" fontId="0" fillId="25" borderId="50" xfId="0" applyFill="1" applyBorder="1" applyAlignment="1">
      <alignment horizontal="center" vertical="center"/>
    </xf>
    <xf numFmtId="169" fontId="36" fillId="0" borderId="72" xfId="1" applyBorder="1" applyAlignment="1" applyProtection="1">
      <alignment horizontal="center" vertical="center"/>
    </xf>
    <xf numFmtId="9" fontId="0" fillId="25" borderId="75" xfId="2" applyFont="1" applyFill="1" applyBorder="1" applyAlignment="1" applyProtection="1">
      <alignment horizontal="center" vertical="center"/>
    </xf>
    <xf numFmtId="169" fontId="36" fillId="0" borderId="76" xfId="1" applyBorder="1" applyAlignment="1" applyProtection="1">
      <alignment horizontal="center" vertical="center"/>
    </xf>
    <xf numFmtId="0" fontId="0" fillId="25" borderId="55" xfId="0" applyFont="1" applyFill="1" applyBorder="1"/>
    <xf numFmtId="0" fontId="0" fillId="25" borderId="53" xfId="0" applyFill="1" applyBorder="1" applyAlignment="1">
      <alignment horizontal="center" vertical="center"/>
    </xf>
    <xf numFmtId="9" fontId="0" fillId="25" borderId="77" xfId="2" applyFont="1" applyFill="1" applyBorder="1" applyAlignment="1" applyProtection="1">
      <alignment horizontal="center" vertical="center"/>
    </xf>
    <xf numFmtId="169" fontId="36" fillId="0" borderId="78" xfId="1" applyBorder="1" applyAlignment="1" applyProtection="1">
      <alignment horizontal="center" vertical="center"/>
    </xf>
    <xf numFmtId="0" fontId="0" fillId="25" borderId="60" xfId="0" applyFont="1" applyFill="1" applyBorder="1"/>
    <xf numFmtId="0" fontId="0" fillId="25" borderId="56" xfId="0" applyFill="1" applyBorder="1" applyAlignment="1">
      <alignment horizontal="center" vertical="center"/>
    </xf>
    <xf numFmtId="9" fontId="0" fillId="25" borderId="79" xfId="2" applyFont="1" applyFill="1" applyBorder="1" applyAlignment="1" applyProtection="1">
      <alignment horizontal="center" vertical="center"/>
    </xf>
    <xf numFmtId="169" fontId="36" fillId="0" borderId="7" xfId="1" applyBorder="1" applyAlignment="1" applyProtection="1">
      <alignment horizontal="center" vertical="center"/>
    </xf>
    <xf numFmtId="169" fontId="36" fillId="0" borderId="80" xfId="1" applyBorder="1" applyAlignment="1" applyProtection="1">
      <alignment horizontal="center" vertical="center"/>
    </xf>
    <xf numFmtId="9" fontId="0" fillId="11" borderId="61" xfId="2" applyFont="1" applyFill="1" applyBorder="1" applyAlignment="1" applyProtection="1">
      <alignment horizontal="center" vertical="center"/>
    </xf>
    <xf numFmtId="9" fontId="0" fillId="0" borderId="63" xfId="2" applyFont="1" applyBorder="1" applyAlignment="1" applyProtection="1">
      <alignment horizontal="center" vertical="center"/>
    </xf>
    <xf numFmtId="3" fontId="1" fillId="0" borderId="0" xfId="3" applyNumberFormat="1"/>
    <xf numFmtId="3" fontId="19" fillId="7" borderId="0" xfId="3" applyNumberFormat="1" applyFont="1" applyFill="1"/>
    <xf numFmtId="3" fontId="32" fillId="0" borderId="0" xfId="0" applyNumberFormat="1" applyFont="1" applyAlignment="1">
      <alignment horizontal="center" vertical="center"/>
    </xf>
    <xf numFmtId="3" fontId="27" fillId="27" borderId="1" xfId="3" applyNumberFormat="1" applyFont="1" applyFill="1" applyBorder="1" applyAlignment="1">
      <alignment horizontal="right" vertical="center" wrapText="1"/>
    </xf>
    <xf numFmtId="0" fontId="27" fillId="0" borderId="1" xfId="3" applyFont="1" applyBorder="1" applyAlignment="1">
      <alignment horizontal="right" vertical="center" wrapText="1"/>
    </xf>
    <xf numFmtId="0" fontId="27" fillId="7" borderId="1" xfId="3" applyFont="1" applyFill="1" applyBorder="1" applyAlignment="1">
      <alignment vertical="center" wrapText="1"/>
    </xf>
    <xf numFmtId="0" fontId="27" fillId="7" borderId="1" xfId="3" applyFont="1" applyFill="1" applyBorder="1" applyAlignment="1">
      <alignment horizontal="right" vertical="center" wrapText="1"/>
    </xf>
    <xf numFmtId="0" fontId="27" fillId="0" borderId="1" xfId="3" applyFont="1" applyBorder="1" applyAlignment="1">
      <alignment vertical="center" wrapText="1"/>
    </xf>
    <xf numFmtId="0" fontId="27" fillId="0" borderId="31" xfId="3" applyFont="1" applyBorder="1" applyAlignment="1">
      <alignment horizontal="right" vertical="center" wrapText="1"/>
    </xf>
    <xf numFmtId="0" fontId="27" fillId="0" borderId="8" xfId="3" applyFont="1" applyBorder="1" applyAlignment="1">
      <alignment horizontal="right" vertical="center" wrapText="1"/>
    </xf>
    <xf numFmtId="0" fontId="0" fillId="27" borderId="0" xfId="0" applyFill="1"/>
    <xf numFmtId="3" fontId="27" fillId="27" borderId="12" xfId="3" applyNumberFormat="1" applyFont="1" applyFill="1" applyBorder="1" applyAlignment="1">
      <alignment horizontal="right" vertical="center" wrapText="1"/>
    </xf>
    <xf numFmtId="3" fontId="27" fillId="27" borderId="40" xfId="3" applyNumberFormat="1" applyFont="1" applyFill="1" applyBorder="1" applyAlignment="1">
      <alignment horizontal="right" vertical="center" wrapText="1"/>
    </xf>
    <xf numFmtId="3" fontId="27" fillId="26" borderId="1" xfId="3" applyNumberFormat="1" applyFont="1" applyFill="1" applyBorder="1" applyAlignment="1">
      <alignment horizontal="right" vertical="center" wrapText="1"/>
    </xf>
    <xf numFmtId="0" fontId="1" fillId="27" borderId="0" xfId="3" applyFill="1"/>
    <xf numFmtId="0" fontId="27" fillId="24" borderId="40" xfId="3" applyFont="1" applyFill="1" applyBorder="1" applyAlignment="1">
      <alignment horizontal="right" vertical="center" wrapText="1"/>
    </xf>
    <xf numFmtId="0" fontId="27" fillId="24" borderId="39" xfId="3" applyFont="1" applyFill="1" applyBorder="1" applyAlignment="1">
      <alignment horizontal="right" vertical="center" wrapText="1"/>
    </xf>
    <xf numFmtId="0" fontId="27" fillId="24" borderId="13" xfId="3" applyFont="1" applyFill="1" applyBorder="1" applyAlignment="1">
      <alignment horizontal="right" vertical="center" wrapText="1"/>
    </xf>
    <xf numFmtId="0" fontId="27" fillId="24" borderId="22" xfId="3" applyFont="1" applyFill="1" applyBorder="1" applyAlignment="1">
      <alignment horizontal="right" vertical="center" wrapText="1"/>
    </xf>
    <xf numFmtId="0" fontId="27" fillId="24" borderId="23" xfId="3" applyFont="1" applyFill="1" applyBorder="1" applyAlignment="1">
      <alignment horizontal="right" vertical="center" wrapText="1"/>
    </xf>
    <xf numFmtId="0" fontId="27" fillId="24" borderId="31" xfId="3" applyFont="1" applyFill="1" applyBorder="1" applyAlignment="1">
      <alignment horizontal="right" vertical="center" wrapText="1"/>
    </xf>
    <xf numFmtId="0" fontId="27" fillId="24" borderId="42" xfId="3" applyFont="1" applyFill="1" applyBorder="1" applyAlignment="1">
      <alignment horizontal="right" vertical="center" wrapText="1"/>
    </xf>
    <xf numFmtId="0" fontId="27" fillId="24" borderId="41" xfId="3" applyFont="1" applyFill="1" applyBorder="1" applyAlignment="1">
      <alignment horizontal="right" vertical="center" wrapText="1"/>
    </xf>
    <xf numFmtId="0" fontId="27" fillId="24" borderId="1" xfId="3" applyFont="1" applyFill="1" applyBorder="1" applyAlignment="1">
      <alignment horizontal="right" vertical="center" wrapText="1"/>
    </xf>
    <xf numFmtId="0" fontId="27" fillId="27" borderId="1" xfId="3" applyFont="1" applyFill="1" applyBorder="1" applyAlignment="1">
      <alignment horizontal="right" vertical="center" wrapText="1"/>
    </xf>
    <xf numFmtId="0" fontId="27" fillId="0" borderId="9" xfId="3" applyFont="1" applyBorder="1" applyAlignment="1">
      <alignment vertical="center" wrapText="1"/>
    </xf>
    <xf numFmtId="0" fontId="27" fillId="27" borderId="12" xfId="3" applyFont="1" applyFill="1" applyBorder="1" applyAlignment="1">
      <alignment vertical="center" wrapText="1"/>
    </xf>
    <xf numFmtId="0" fontId="27" fillId="0" borderId="12" xfId="3" applyFont="1" applyBorder="1" applyAlignment="1">
      <alignment vertical="center" wrapText="1"/>
    </xf>
    <xf numFmtId="0" fontId="27" fillId="0" borderId="13" xfId="3" applyFont="1" applyBorder="1" applyAlignment="1">
      <alignment vertical="center" textRotation="90" wrapText="1"/>
    </xf>
    <xf numFmtId="0" fontId="27" fillId="0" borderId="14" xfId="3" applyFont="1" applyBorder="1" applyAlignment="1">
      <alignment vertical="center" textRotation="90" wrapText="1"/>
    </xf>
    <xf numFmtId="0" fontId="27" fillId="0" borderId="15" xfId="3" applyFont="1" applyBorder="1" applyAlignment="1">
      <alignment vertical="center" textRotation="90" wrapText="1"/>
    </xf>
    <xf numFmtId="0" fontId="27" fillId="0" borderId="16" xfId="3" applyFont="1" applyBorder="1" applyAlignment="1">
      <alignment vertical="center" textRotation="90" wrapText="1"/>
    </xf>
    <xf numFmtId="0" fontId="27" fillId="0" borderId="17" xfId="3" applyFont="1" applyBorder="1" applyAlignment="1">
      <alignment vertical="center" textRotation="90" wrapText="1"/>
    </xf>
    <xf numFmtId="0" fontId="27" fillId="0" borderId="18" xfId="3" applyFont="1" applyBorder="1" applyAlignment="1">
      <alignment vertical="center" textRotation="90" wrapText="1"/>
    </xf>
    <xf numFmtId="0" fontId="27" fillId="0" borderId="19" xfId="3" applyFont="1" applyBorder="1" applyAlignment="1">
      <alignment vertical="center" textRotation="90" wrapText="1"/>
    </xf>
    <xf numFmtId="0" fontId="27" fillId="27" borderId="13" xfId="3" applyFont="1" applyFill="1" applyBorder="1" applyAlignment="1">
      <alignment vertical="center" textRotation="90" wrapText="1"/>
    </xf>
    <xf numFmtId="0" fontId="14" fillId="0" borderId="13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vertical="center" wrapText="1"/>
    </xf>
    <xf numFmtId="0" fontId="14" fillId="0" borderId="16" xfId="3" applyFont="1" applyBorder="1" applyAlignment="1">
      <alignment vertical="center" wrapText="1"/>
    </xf>
    <xf numFmtId="0" fontId="14" fillId="0" borderId="17" xfId="3" applyFont="1" applyBorder="1" applyAlignment="1">
      <alignment vertical="center" wrapText="1"/>
    </xf>
    <xf numFmtId="0" fontId="14" fillId="0" borderId="18" xfId="3" applyFont="1" applyBorder="1" applyAlignment="1">
      <alignment vertical="center" wrapText="1"/>
    </xf>
    <xf numFmtId="0" fontId="14" fillId="0" borderId="19" xfId="3" applyFont="1" applyBorder="1" applyAlignment="1">
      <alignment vertical="center" wrapText="1"/>
    </xf>
    <xf numFmtId="0" fontId="14" fillId="0" borderId="21" xfId="3" applyFont="1" applyBorder="1" applyAlignment="1">
      <alignment vertical="center" wrapText="1"/>
    </xf>
    <xf numFmtId="0" fontId="14" fillId="0" borderId="22" xfId="3" applyFont="1" applyBorder="1" applyAlignment="1">
      <alignment vertical="center" wrapText="1"/>
    </xf>
    <xf numFmtId="0" fontId="14" fillId="27" borderId="13" xfId="3" applyFont="1" applyFill="1" applyBorder="1" applyAlignment="1">
      <alignment vertical="center" wrapText="1"/>
    </xf>
    <xf numFmtId="0" fontId="14" fillId="0" borderId="23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25" xfId="3" applyFont="1" applyBorder="1" applyAlignment="1">
      <alignment vertical="center" wrapText="1"/>
    </xf>
    <xf numFmtId="0" fontId="14" fillId="0" borderId="26" xfId="3" applyFont="1" applyBorder="1" applyAlignment="1">
      <alignment vertical="center" wrapText="1"/>
    </xf>
    <xf numFmtId="0" fontId="14" fillId="0" borderId="27" xfId="3" applyFont="1" applyBorder="1" applyAlignment="1">
      <alignment vertical="center" wrapText="1"/>
    </xf>
    <xf numFmtId="0" fontId="14" fillId="0" borderId="28" xfId="3" applyFont="1" applyBorder="1" applyAlignment="1">
      <alignment vertical="center" wrapText="1"/>
    </xf>
    <xf numFmtId="0" fontId="14" fillId="0" borderId="29" xfId="3" applyFont="1" applyBorder="1" applyAlignment="1">
      <alignment vertical="center" wrapText="1"/>
    </xf>
    <xf numFmtId="0" fontId="14" fillId="0" borderId="30" xfId="3" applyFont="1" applyBorder="1" applyAlignment="1">
      <alignment vertical="center" wrapText="1"/>
    </xf>
    <xf numFmtId="0" fontId="14" fillId="0" borderId="31" xfId="3" applyFont="1" applyBorder="1" applyAlignment="1">
      <alignment vertical="center" wrapText="1"/>
    </xf>
    <xf numFmtId="0" fontId="14" fillId="27" borderId="23" xfId="3" applyFont="1" applyFill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39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27" fillId="0" borderId="41" xfId="3" applyFont="1" applyBorder="1" applyAlignment="1">
      <alignment vertical="center" wrapText="1"/>
    </xf>
    <xf numFmtId="0" fontId="27" fillId="0" borderId="22" xfId="3" applyFont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0" fontId="27" fillId="0" borderId="5" xfId="3" applyFont="1" applyBorder="1" applyAlignment="1">
      <alignment vertical="center" wrapText="1"/>
    </xf>
    <xf numFmtId="4" fontId="27" fillId="28" borderId="1" xfId="3" applyNumberFormat="1" applyFont="1" applyFill="1" applyBorder="1" applyAlignment="1">
      <alignment horizontal="right" vertical="center" wrapText="1"/>
    </xf>
    <xf numFmtId="2" fontId="27" fillId="29" borderId="1" xfId="3" applyNumberFormat="1" applyFont="1" applyFill="1" applyBorder="1" applyAlignment="1">
      <alignment horizontal="right" vertical="center" wrapText="1"/>
    </xf>
    <xf numFmtId="2" fontId="27" fillId="26" borderId="1" xfId="3" applyNumberFormat="1" applyFont="1" applyFill="1" applyBorder="1" applyAlignment="1">
      <alignment horizontal="right" vertical="center" wrapText="1"/>
    </xf>
    <xf numFmtId="0" fontId="0" fillId="0" borderId="0" xfId="0"/>
    <xf numFmtId="0" fontId="27" fillId="0" borderId="1" xfId="3" applyFont="1" applyBorder="1" applyAlignment="1">
      <alignment vertical="center" wrapText="1"/>
    </xf>
    <xf numFmtId="3" fontId="27" fillId="27" borderId="38" xfId="3" applyNumberFormat="1" applyFont="1" applyFill="1" applyBorder="1" applyAlignment="1">
      <alignment horizontal="right" vertical="center" wrapText="1"/>
    </xf>
    <xf numFmtId="0" fontId="27" fillId="7" borderId="81" xfId="3" applyFont="1" applyFill="1" applyBorder="1" applyAlignment="1">
      <alignment horizontal="right" vertical="center" wrapText="1"/>
    </xf>
    <xf numFmtId="3" fontId="27" fillId="27" borderId="5" xfId="3" applyNumberFormat="1" applyFont="1" applyFill="1" applyBorder="1" applyAlignment="1">
      <alignment horizontal="right" vertical="center" wrapText="1"/>
    </xf>
    <xf numFmtId="0" fontId="27" fillId="0" borderId="2" xfId="3" applyFont="1" applyBorder="1" applyAlignment="1">
      <alignment horizontal="right" vertical="center" wrapText="1"/>
    </xf>
    <xf numFmtId="3" fontId="27" fillId="26" borderId="1" xfId="3" applyNumberFormat="1" applyFont="1" applyFill="1" applyBorder="1" applyAlignment="1">
      <alignment vertical="center" wrapText="1"/>
    </xf>
    <xf numFmtId="9" fontId="27" fillId="27" borderId="1" xfId="3" applyNumberFormat="1" applyFont="1" applyFill="1" applyBorder="1" applyAlignment="1">
      <alignment horizontal="right" vertical="center" wrapText="1"/>
    </xf>
    <xf numFmtId="3" fontId="27" fillId="0" borderId="82" xfId="3" applyNumberFormat="1" applyFont="1" applyBorder="1" applyAlignment="1">
      <alignment horizontal="right" vertical="center" wrapText="1"/>
    </xf>
    <xf numFmtId="3" fontId="27" fillId="27" borderId="83" xfId="3" applyNumberFormat="1" applyFont="1" applyFill="1" applyBorder="1" applyAlignment="1">
      <alignment horizontal="right" vertical="center" wrapText="1"/>
    </xf>
    <xf numFmtId="3" fontId="27" fillId="24" borderId="5" xfId="3" applyNumberFormat="1" applyFont="1" applyFill="1" applyBorder="1" applyAlignment="1">
      <alignment horizontal="right" vertical="center" wrapText="1"/>
    </xf>
    <xf numFmtId="2" fontId="27" fillId="29" borderId="5" xfId="3" applyNumberFormat="1" applyFont="1" applyFill="1" applyBorder="1" applyAlignment="1">
      <alignment horizontal="right" vertical="center" wrapText="1"/>
    </xf>
    <xf numFmtId="0" fontId="27" fillId="27" borderId="1" xfId="3" applyFont="1" applyFill="1" applyBorder="1" applyAlignment="1">
      <alignment horizontal="justify" vertical="center" wrapText="1"/>
    </xf>
    <xf numFmtId="3" fontId="31" fillId="0" borderId="0" xfId="2" applyNumberFormat="1" applyFont="1" applyBorder="1" applyAlignment="1" applyProtection="1">
      <alignment horizontal="center" vertical="center"/>
    </xf>
    <xf numFmtId="3" fontId="27" fillId="27" borderId="34" xfId="3" applyNumberFormat="1" applyFont="1" applyFill="1" applyBorder="1" applyAlignment="1">
      <alignment horizontal="right" vertical="center" wrapText="1"/>
    </xf>
    <xf numFmtId="44" fontId="1" fillId="0" borderId="0" xfId="4" applyFont="1"/>
    <xf numFmtId="3" fontId="31" fillId="30" borderId="0" xfId="3" applyNumberFormat="1" applyFont="1" applyFill="1" applyAlignment="1">
      <alignment horizontal="right"/>
    </xf>
    <xf numFmtId="3" fontId="31" fillId="0" borderId="0" xfId="3" applyNumberFormat="1" applyFont="1" applyAlignment="1">
      <alignment horizontal="right" vertical="center"/>
    </xf>
    <xf numFmtId="0" fontId="27" fillId="27" borderId="33" xfId="3" applyFont="1" applyFill="1" applyBorder="1" applyAlignment="1">
      <alignment horizontal="right" vertical="center" wrapText="1"/>
    </xf>
    <xf numFmtId="0" fontId="27" fillId="27" borderId="35" xfId="3" applyFont="1" applyFill="1" applyBorder="1" applyAlignment="1">
      <alignment horizontal="right" vertical="center" wrapText="1"/>
    </xf>
    <xf numFmtId="0" fontId="27" fillId="26" borderId="32" xfId="3" applyFont="1" applyFill="1" applyBorder="1" applyAlignment="1">
      <alignment horizontal="right" vertical="center" wrapText="1"/>
    </xf>
    <xf numFmtId="0" fontId="27" fillId="26" borderId="36" xfId="3" applyFont="1" applyFill="1" applyBorder="1" applyAlignment="1">
      <alignment horizontal="right" vertical="center" wrapText="1"/>
    </xf>
    <xf numFmtId="0" fontId="27" fillId="26" borderId="37" xfId="3" applyFont="1" applyFill="1" applyBorder="1" applyAlignment="1">
      <alignment horizontal="right" vertical="center" wrapText="1"/>
    </xf>
    <xf numFmtId="3" fontId="27" fillId="27" borderId="8" xfId="3" applyNumberFormat="1" applyFont="1" applyFill="1" applyBorder="1" applyAlignment="1">
      <alignment horizontal="right" vertical="center" wrapText="1"/>
    </xf>
    <xf numFmtId="0" fontId="27" fillId="27" borderId="22" xfId="3" applyFont="1" applyFill="1" applyBorder="1" applyAlignment="1">
      <alignment horizontal="right" vertical="center" wrapText="1"/>
    </xf>
    <xf numFmtId="3" fontId="27" fillId="27" borderId="32" xfId="3" applyNumberFormat="1" applyFont="1" applyFill="1" applyBorder="1" applyAlignment="1">
      <alignment horizontal="right" vertical="center" wrapText="1"/>
    </xf>
    <xf numFmtId="0" fontId="27" fillId="27" borderId="31" xfId="3" applyFont="1" applyFill="1" applyBorder="1" applyAlignment="1">
      <alignment horizontal="right" vertical="center" wrapText="1"/>
    </xf>
    <xf numFmtId="0" fontId="27" fillId="27" borderId="41" xfId="3" applyFont="1" applyFill="1" applyBorder="1" applyAlignment="1">
      <alignment horizontal="right" vertical="center" wrapText="1"/>
    </xf>
    <xf numFmtId="0" fontId="27" fillId="26" borderId="1" xfId="3" applyFont="1" applyFill="1" applyBorder="1" applyAlignment="1">
      <alignment horizontal="right" vertical="center" wrapText="1"/>
    </xf>
    <xf numFmtId="0" fontId="27" fillId="27" borderId="5" xfId="3" applyFont="1" applyFill="1" applyBorder="1" applyAlignment="1">
      <alignment horizontal="right" vertical="center" wrapText="1"/>
    </xf>
    <xf numFmtId="3" fontId="27" fillId="27" borderId="43" xfId="3" applyNumberFormat="1" applyFont="1" applyFill="1" applyBorder="1" applyAlignment="1">
      <alignment horizontal="right" vertical="center" wrapText="1"/>
    </xf>
    <xf numFmtId="3" fontId="27" fillId="27" borderId="23" xfId="3" applyNumberFormat="1" applyFont="1" applyFill="1" applyBorder="1" applyAlignment="1">
      <alignment horizontal="right" vertical="center" wrapText="1"/>
    </xf>
    <xf numFmtId="0" fontId="30" fillId="27" borderId="1" xfId="3" applyFont="1" applyFill="1" applyBorder="1" applyAlignment="1">
      <alignment horizontal="right" vertical="center" wrapText="1"/>
    </xf>
    <xf numFmtId="0" fontId="30" fillId="27" borderId="5" xfId="3" applyFont="1" applyFill="1" applyBorder="1" applyAlignment="1">
      <alignment horizontal="right" vertical="center" wrapText="1"/>
    </xf>
    <xf numFmtId="3" fontId="27" fillId="26" borderId="5" xfId="3" applyNumberFormat="1" applyFont="1" applyFill="1" applyBorder="1" applyAlignment="1">
      <alignment horizontal="right" vertical="center" wrapText="1"/>
    </xf>
    <xf numFmtId="0" fontId="27" fillId="27" borderId="5" xfId="0" applyFont="1" applyFill="1" applyBorder="1" applyAlignment="1">
      <alignment horizontal="right" vertical="center"/>
    </xf>
    <xf numFmtId="9" fontId="27" fillId="27" borderId="5" xfId="3" applyNumberFormat="1" applyFont="1" applyFill="1" applyBorder="1" applyAlignment="1">
      <alignment horizontal="right" vertical="center" wrapText="1"/>
    </xf>
    <xf numFmtId="0" fontId="27" fillId="27" borderId="1" xfId="0" applyFont="1" applyFill="1" applyBorder="1" applyAlignment="1">
      <alignment horizontal="right" vertical="center"/>
    </xf>
    <xf numFmtId="3" fontId="19" fillId="0" borderId="44" xfId="3" applyNumberFormat="1" applyFont="1" applyBorder="1"/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8" fillId="20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3" fontId="8" fillId="2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3" fontId="8" fillId="17" borderId="1" xfId="0" applyNumberFormat="1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 vertical="center"/>
    </xf>
    <xf numFmtId="3" fontId="8" fillId="19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3" fontId="8" fillId="16" borderId="1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27" fillId="7" borderId="5" xfId="3" applyFont="1" applyFill="1" applyBorder="1" applyAlignment="1">
      <alignment horizontal="left" vertical="center" wrapText="1"/>
    </xf>
    <xf numFmtId="0" fontId="27" fillId="7" borderId="6" xfId="3" applyFont="1" applyFill="1" applyBorder="1" applyAlignment="1">
      <alignment horizontal="left" vertical="center" wrapText="1"/>
    </xf>
    <xf numFmtId="0" fontId="27" fillId="0" borderId="1" xfId="3" applyFont="1" applyBorder="1" applyAlignment="1">
      <alignment vertical="center" wrapText="1"/>
    </xf>
    <xf numFmtId="0" fontId="27" fillId="22" borderId="8" xfId="3" applyFont="1" applyFill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27" fillId="7" borderId="1" xfId="3" applyFont="1" applyFill="1" applyBorder="1" applyAlignment="1">
      <alignment vertical="center" wrapText="1"/>
    </xf>
    <xf numFmtId="0" fontId="27" fillId="22" borderId="1" xfId="3" applyFont="1" applyFill="1" applyBorder="1" applyAlignment="1">
      <alignment vertical="center" wrapText="1"/>
    </xf>
    <xf numFmtId="0" fontId="27" fillId="22" borderId="5" xfId="3" applyFont="1" applyFill="1" applyBorder="1" applyAlignment="1">
      <alignment vertical="center" wrapText="1"/>
    </xf>
    <xf numFmtId="0" fontId="27" fillId="7" borderId="5" xfId="3" applyFont="1" applyFill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0" fontId="27" fillId="0" borderId="5" xfId="3" applyFont="1" applyBorder="1" applyAlignment="1">
      <alignment vertical="center" wrapText="1"/>
    </xf>
    <xf numFmtId="0" fontId="27" fillId="7" borderId="8" xfId="3" applyFont="1" applyFill="1" applyBorder="1" applyAlignment="1">
      <alignment vertical="center" wrapText="1"/>
    </xf>
    <xf numFmtId="0" fontId="27" fillId="0" borderId="6" xfId="3" applyFont="1" applyBorder="1" applyAlignment="1">
      <alignment vertical="center" wrapText="1"/>
    </xf>
    <xf numFmtId="0" fontId="27" fillId="0" borderId="8" xfId="3" applyFont="1" applyBorder="1" applyAlignment="1">
      <alignment vertical="center" textRotation="90" wrapText="1"/>
    </xf>
    <xf numFmtId="0" fontId="27" fillId="7" borderId="22" xfId="3" applyFont="1" applyFill="1" applyBorder="1" applyAlignment="1">
      <alignment vertical="center" wrapText="1"/>
    </xf>
    <xf numFmtId="0" fontId="27" fillId="7" borderId="41" xfId="3" applyFont="1" applyFill="1" applyBorder="1" applyAlignment="1">
      <alignment vertical="center" wrapText="1"/>
    </xf>
    <xf numFmtId="0" fontId="27" fillId="0" borderId="7" xfId="3" applyFont="1" applyBorder="1" applyAlignment="1">
      <alignment vertical="center" wrapText="1"/>
    </xf>
    <xf numFmtId="0" fontId="27" fillId="0" borderId="1" xfId="3" applyFont="1" applyBorder="1" applyAlignment="1">
      <alignment vertical="center" textRotation="90" wrapText="1"/>
    </xf>
    <xf numFmtId="0" fontId="27" fillId="0" borderId="10" xfId="3" applyFont="1" applyBorder="1" applyAlignment="1">
      <alignment vertical="center" wrapText="1"/>
    </xf>
    <xf numFmtId="0" fontId="27" fillId="0" borderId="11" xfId="3" applyFont="1" applyBorder="1" applyAlignment="1">
      <alignment vertical="center" textRotation="90" wrapText="1"/>
    </xf>
    <xf numFmtId="0" fontId="0" fillId="11" borderId="45" xfId="0" applyFont="1" applyFill="1" applyBorder="1" applyAlignment="1">
      <alignment horizontal="center" vertical="center" wrapText="1"/>
    </xf>
    <xf numFmtId="169" fontId="0" fillId="0" borderId="45" xfId="1" applyFont="1" applyBorder="1" applyAlignment="1" applyProtection="1">
      <alignment horizontal="center" vertical="center" wrapText="1"/>
    </xf>
    <xf numFmtId="169" fontId="0" fillId="0" borderId="48" xfId="1" applyFont="1" applyBorder="1" applyAlignment="1" applyProtection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 wrapText="1"/>
    </xf>
    <xf numFmtId="1" fontId="0" fillId="25" borderId="45" xfId="0" applyNumberFormat="1" applyFont="1" applyFill="1" applyBorder="1" applyAlignment="1">
      <alignment horizontal="center" vertical="center" wrapText="1"/>
    </xf>
    <xf numFmtId="0" fontId="8" fillId="25" borderId="47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9" fontId="0" fillId="0" borderId="61" xfId="1" applyFont="1" applyBorder="1" applyAlignment="1" applyProtection="1">
      <alignment horizontal="center" vertical="center" wrapText="1"/>
    </xf>
    <xf numFmtId="0" fontId="0" fillId="11" borderId="61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169" fontId="0" fillId="0" borderId="74" xfId="1" applyFont="1" applyBorder="1" applyAlignment="1" applyProtection="1">
      <alignment horizontal="center" vertical="center" wrapText="1"/>
    </xf>
    <xf numFmtId="0" fontId="8" fillId="25" borderId="48" xfId="0" applyFont="1" applyFill="1" applyBorder="1" applyAlignment="1">
      <alignment horizontal="center" vertical="center" wrapText="1"/>
    </xf>
  </cellXfs>
  <cellStyles count="5">
    <cellStyle name="Dziesiętny" xfId="1" builtinId="3"/>
    <cellStyle name="Normalny" xfId="0" builtinId="0"/>
    <cellStyle name="Procentowy" xfId="2" builtinId="5"/>
    <cellStyle name="Tekst objaśnienia" xfId="3" builtinId="53" customBuiltin="1"/>
    <cellStyle name="Walutowy" xfId="4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DBE5F1"/>
      <rgbColor rgb="FFBFBFBF"/>
      <rgbColor rgb="FF993366"/>
      <rgbColor rgb="FFFDEADA"/>
      <rgbColor rgb="FFDBEEF4"/>
      <rgbColor rgb="FF660066"/>
      <rgbColor rgb="FFD9D9D9"/>
      <rgbColor rgb="FF0066CC"/>
      <rgbColor rgb="FFB9CDE5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DB3E2"/>
      <rgbColor rgb="FFFF99CC"/>
      <rgbColor rgb="FFCCC1DA"/>
      <rgbColor rgb="FFFAC090"/>
      <rgbColor rgb="FF3366FF"/>
      <rgbColor rgb="FFB7DEE8"/>
      <rgbColor rgb="FF92D050"/>
      <rgbColor rgb="FFFCD5B5"/>
      <rgbColor rgb="FFE6E0EC"/>
      <rgbColor rgb="FFFF3333"/>
      <rgbColor rgb="FF4F6228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1000125</xdr:colOff>
      <xdr:row>11</xdr:row>
      <xdr:rowOff>19050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361950</xdr:colOff>
      <xdr:row>27</xdr:row>
      <xdr:rowOff>180975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N35"/>
  <sheetViews>
    <sheetView zoomScale="90" zoomScaleNormal="90" workbookViewId="0">
      <pane xSplit="1" topLeftCell="D1" activePane="topRight" state="frozen"/>
      <selection pane="topRight" activeCell="F14" sqref="F14"/>
    </sheetView>
  </sheetViews>
  <sheetFormatPr defaultRowHeight="15" x14ac:dyDescent="0.25"/>
  <cols>
    <col min="1" max="1" width="8.7109375"/>
    <col min="2" max="2" width="10.28515625"/>
    <col min="3" max="4" width="18.42578125"/>
    <col min="5" max="5" width="17.28515625"/>
    <col min="6" max="6" width="19.5703125"/>
    <col min="7" max="7" width="14.85546875"/>
    <col min="8" max="10" width="15.42578125"/>
    <col min="11" max="12" width="15.85546875"/>
    <col min="13" max="13" width="17.28515625"/>
    <col min="14" max="14" width="16.5703125"/>
    <col min="15" max="15" width="15.5703125"/>
    <col min="16" max="16" width="16.85546875"/>
    <col min="17" max="17" width="14.42578125"/>
    <col min="18" max="18" width="14.7109375"/>
    <col min="19" max="19" width="22.7109375"/>
    <col min="20" max="20" width="15"/>
    <col min="21" max="21" width="18.7109375"/>
    <col min="22" max="22" width="15.140625"/>
    <col min="23" max="23" width="19.5703125"/>
    <col min="24" max="24" width="12.140625"/>
    <col min="25" max="26" width="18.5703125"/>
    <col min="27" max="27" width="16.42578125"/>
    <col min="28" max="28" width="20.5703125"/>
    <col min="29" max="29" width="13.42578125"/>
    <col min="30" max="30" width="18.5703125"/>
    <col min="31" max="32" width="12.140625"/>
    <col min="33" max="33" width="13.140625"/>
    <col min="34" max="34" width="12.7109375"/>
    <col min="35" max="35" width="12.42578125"/>
    <col min="36" max="36" width="12.7109375"/>
    <col min="37" max="37" width="11.28515625"/>
    <col min="38" max="1025" width="8.7109375"/>
  </cols>
  <sheetData>
    <row r="1" spans="1:40" ht="33.75" customHeight="1" x14ac:dyDescent="0.25">
      <c r="A1" s="521" t="s">
        <v>0</v>
      </c>
      <c r="B1" s="521" t="s">
        <v>1</v>
      </c>
      <c r="C1" s="521" t="s">
        <v>2</v>
      </c>
      <c r="D1" s="521" t="s">
        <v>3</v>
      </c>
      <c r="E1" s="522" t="s">
        <v>4</v>
      </c>
      <c r="F1" s="521" t="s">
        <v>5</v>
      </c>
      <c r="G1" s="522" t="s">
        <v>6</v>
      </c>
      <c r="H1" s="521" t="s">
        <v>7</v>
      </c>
      <c r="I1" s="521" t="s">
        <v>8</v>
      </c>
      <c r="J1" s="521"/>
      <c r="K1" s="522" t="s">
        <v>9</v>
      </c>
      <c r="L1" s="521" t="s">
        <v>10</v>
      </c>
      <c r="M1" s="521" t="s">
        <v>11</v>
      </c>
      <c r="N1" s="1" t="s">
        <v>12</v>
      </c>
      <c r="O1" s="521" t="s">
        <v>13</v>
      </c>
      <c r="P1" s="521"/>
      <c r="Q1" s="521" t="s">
        <v>14</v>
      </c>
      <c r="R1" s="521"/>
      <c r="S1" s="521" t="s">
        <v>15</v>
      </c>
      <c r="T1" s="2" t="s">
        <v>16</v>
      </c>
      <c r="V1" s="3" t="s">
        <v>17</v>
      </c>
      <c r="W1" s="4"/>
      <c r="X1" s="4"/>
      <c r="Y1" s="5" t="s">
        <v>18</v>
      </c>
      <c r="Z1" s="6">
        <f>(E15-E11)</f>
        <v>8316934755</v>
      </c>
      <c r="AA1" s="4"/>
      <c r="AB1" s="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6" x14ac:dyDescent="0.25">
      <c r="A2" s="521"/>
      <c r="B2" s="521"/>
      <c r="C2" s="521"/>
      <c r="D2" s="521"/>
      <c r="E2" s="522"/>
      <c r="F2" s="521"/>
      <c r="G2" s="522"/>
      <c r="H2" s="521"/>
      <c r="I2" s="1" t="s">
        <v>19</v>
      </c>
      <c r="J2" s="1" t="s">
        <v>20</v>
      </c>
      <c r="K2" s="522"/>
      <c r="L2" s="521"/>
      <c r="M2" s="521"/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521"/>
      <c r="T2" s="2" t="s">
        <v>26</v>
      </c>
      <c r="U2" s="8" t="s">
        <v>27</v>
      </c>
      <c r="V2" s="9"/>
      <c r="W2" s="7"/>
      <c r="X2" s="7"/>
      <c r="Y2" s="10"/>
      <c r="Z2" s="10"/>
      <c r="AA2" s="10"/>
      <c r="AB2" s="10"/>
      <c r="AC2" s="10"/>
      <c r="AD2" s="11"/>
      <c r="AE2" s="12"/>
      <c r="AF2" s="7"/>
      <c r="AG2" s="7"/>
      <c r="AH2" s="7"/>
      <c r="AI2" s="7"/>
      <c r="AJ2" s="7"/>
      <c r="AK2" s="7"/>
      <c r="AL2" s="7"/>
      <c r="AM2" s="7"/>
      <c r="AN2" s="7"/>
    </row>
    <row r="3" spans="1:40" ht="36" x14ac:dyDescent="0.25">
      <c r="A3" s="514" t="s">
        <v>28</v>
      </c>
      <c r="B3" s="13" t="s">
        <v>29</v>
      </c>
      <c r="C3" s="13" t="s">
        <v>30</v>
      </c>
      <c r="D3" s="14" t="s">
        <v>31</v>
      </c>
      <c r="E3" s="515">
        <v>3849931178</v>
      </c>
      <c r="F3" s="15">
        <f>(E3-F4)</f>
        <v>3479741045.9452763</v>
      </c>
      <c r="G3" s="516">
        <f>H3+H4</f>
        <v>706619486</v>
      </c>
      <c r="H3" s="15">
        <v>614071950</v>
      </c>
      <c r="I3" s="15">
        <v>0</v>
      </c>
      <c r="J3" s="15">
        <f>F3/M5-F3</f>
        <v>614071950.0347662</v>
      </c>
      <c r="K3" s="516">
        <f>L3+L4</f>
        <v>4556550664</v>
      </c>
      <c r="L3" s="15">
        <f t="shared" ref="L3:L12" si="0">F3+H3</f>
        <v>4093812995.9452763</v>
      </c>
      <c r="M3" s="16">
        <f t="shared" ref="M3:M14" si="1">(F3/L3)</f>
        <v>0.84999999985143226</v>
      </c>
      <c r="N3" s="17">
        <v>0</v>
      </c>
      <c r="O3" s="15">
        <f>F3-Q3</f>
        <v>3295370499.789701</v>
      </c>
      <c r="P3" s="15">
        <f t="shared" ref="P3:P12" si="2">H3-R3</f>
        <v>581535971.22875106</v>
      </c>
      <c r="Q3" s="15">
        <f>F3*W3+Q31-S18</f>
        <v>184370546.15557525</v>
      </c>
      <c r="R3" s="15">
        <f t="shared" ref="R3:R10" si="3">(H3*((Q3/F3)))</f>
        <v>32535978.77124894</v>
      </c>
      <c r="S3" s="18">
        <f>(Q3/F3)*1</f>
        <v>5.2983984647481358E-2</v>
      </c>
      <c r="T3" s="517">
        <f>E3/E16</f>
        <v>0.46290265481348003</v>
      </c>
      <c r="U3" s="20">
        <v>0</v>
      </c>
      <c r="V3" s="21">
        <f>(E3/E15)</f>
        <v>0.4469425243396834</v>
      </c>
      <c r="W3" s="22">
        <v>0.05</v>
      </c>
      <c r="X3" s="11" t="s">
        <v>32</v>
      </c>
      <c r="Y3" s="23">
        <f>(E3/Z1)</f>
        <v>0.46290265481348003</v>
      </c>
      <c r="Z3" s="24">
        <f>(AA11*Y3)</f>
        <v>749509618.6769104</v>
      </c>
      <c r="AA3" s="10"/>
      <c r="AB3" s="10"/>
      <c r="AC3" s="10"/>
      <c r="AD3" s="11"/>
      <c r="AE3" s="25"/>
      <c r="AF3" s="7"/>
      <c r="AG3" s="7"/>
      <c r="AH3" s="7"/>
      <c r="AI3" s="7"/>
      <c r="AJ3" s="7"/>
      <c r="AK3" s="7"/>
      <c r="AL3" s="7"/>
      <c r="AM3" s="7"/>
      <c r="AN3" s="7"/>
    </row>
    <row r="4" spans="1:40" ht="36" x14ac:dyDescent="0.25">
      <c r="A4" s="514"/>
      <c r="B4" s="13" t="s">
        <v>29</v>
      </c>
      <c r="C4" s="13" t="s">
        <v>33</v>
      </c>
      <c r="D4" s="14" t="s">
        <v>31</v>
      </c>
      <c r="E4" s="515"/>
      <c r="F4" s="26">
        <v>370190132.05472398</v>
      </c>
      <c r="G4" s="516"/>
      <c r="H4" s="27">
        <v>92547536</v>
      </c>
      <c r="I4" s="27">
        <v>0</v>
      </c>
      <c r="J4" s="27">
        <v>92547536</v>
      </c>
      <c r="K4" s="516"/>
      <c r="L4" s="27">
        <f t="shared" si="0"/>
        <v>462737668.05472398</v>
      </c>
      <c r="M4" s="28">
        <f t="shared" si="1"/>
        <v>0.79999999483712836</v>
      </c>
      <c r="N4" s="29">
        <v>0</v>
      </c>
      <c r="O4" s="27">
        <f>F4-Q4</f>
        <v>350415185.16157985</v>
      </c>
      <c r="P4" s="27">
        <f t="shared" si="2"/>
        <v>87603799.117189735</v>
      </c>
      <c r="Q4" s="27">
        <f>F4*W4+Q32-S19+2</f>
        <v>19774946.893144112</v>
      </c>
      <c r="R4" s="27">
        <f t="shared" si="3"/>
        <v>4943736.8828102686</v>
      </c>
      <c r="S4" s="30">
        <f>(Q4/F4)*1</f>
        <v>5.3418352302867025E-2</v>
      </c>
      <c r="T4" s="517"/>
      <c r="U4" s="31">
        <v>0</v>
      </c>
      <c r="V4" s="21"/>
      <c r="W4" s="22">
        <v>0.05</v>
      </c>
      <c r="X4" s="11"/>
      <c r="Y4" s="23"/>
      <c r="Z4" s="24">
        <f>(AA12*Y3)</f>
        <v>85352840.499095827</v>
      </c>
      <c r="AA4" s="10"/>
      <c r="AB4" s="10"/>
      <c r="AC4" s="10"/>
      <c r="AD4" s="11"/>
      <c r="AE4" s="25"/>
      <c r="AF4" s="7"/>
      <c r="AG4" s="7"/>
      <c r="AH4" s="7"/>
      <c r="AI4" s="10"/>
      <c r="AJ4" s="10"/>
      <c r="AK4" s="10"/>
      <c r="AL4" s="7"/>
      <c r="AM4" s="7"/>
      <c r="AN4" s="7"/>
    </row>
    <row r="5" spans="1:40" ht="36" x14ac:dyDescent="0.25">
      <c r="A5" s="514" t="s">
        <v>34</v>
      </c>
      <c r="B5" s="13" t="s">
        <v>29</v>
      </c>
      <c r="C5" s="13" t="s">
        <v>30</v>
      </c>
      <c r="D5" s="14" t="s">
        <v>31</v>
      </c>
      <c r="E5" s="515">
        <v>1043151560</v>
      </c>
      <c r="F5" s="15">
        <f>(E5-F6)</f>
        <v>950515910.17194223</v>
      </c>
      <c r="G5" s="516">
        <f>H5+H6</f>
        <v>190897015</v>
      </c>
      <c r="H5" s="15">
        <v>167738102</v>
      </c>
      <c r="I5" s="15">
        <v>16773810.179504899</v>
      </c>
      <c r="J5" s="15">
        <v>150964292</v>
      </c>
      <c r="K5" s="516">
        <f>L5+L6</f>
        <v>1234048575</v>
      </c>
      <c r="L5" s="32">
        <f t="shared" si="0"/>
        <v>1118254012.1719422</v>
      </c>
      <c r="M5" s="16">
        <f t="shared" si="1"/>
        <v>0.84999999984421371</v>
      </c>
      <c r="N5" s="17">
        <v>0</v>
      </c>
      <c r="O5" s="15">
        <f>F5-Q5</f>
        <v>883979797.17194223</v>
      </c>
      <c r="P5" s="15">
        <f t="shared" si="2"/>
        <v>155996434.9856534</v>
      </c>
      <c r="Q5" s="15">
        <v>66536113</v>
      </c>
      <c r="R5" s="32">
        <f t="shared" si="3"/>
        <v>11741667.014346596</v>
      </c>
      <c r="S5" s="33">
        <f>(Q5/F5)</f>
        <v>6.9999999250895284E-2</v>
      </c>
      <c r="T5" s="517">
        <f>E5/E16</f>
        <v>0.12542500220683769</v>
      </c>
      <c r="U5" s="20">
        <v>0.1</v>
      </c>
      <c r="V5" s="21"/>
      <c r="W5" s="34">
        <v>7.0000000000000007E-2</v>
      </c>
      <c r="X5" s="35" t="s">
        <v>35</v>
      </c>
      <c r="Y5" s="36">
        <f>(E5/Z1)</f>
        <v>0.12542500220683769</v>
      </c>
      <c r="Z5" s="37">
        <f>(AA11*Y5)</f>
        <v>203082105.05830094</v>
      </c>
      <c r="AA5" s="38"/>
      <c r="AB5" s="38"/>
      <c r="AC5" s="7"/>
      <c r="AD5" s="11"/>
      <c r="AE5" s="25"/>
      <c r="AF5" s="7"/>
      <c r="AG5" s="7"/>
      <c r="AH5" s="7"/>
      <c r="AI5" s="7"/>
      <c r="AJ5" s="7"/>
      <c r="AK5" s="7"/>
      <c r="AL5" s="7"/>
      <c r="AM5" s="7"/>
      <c r="AN5" s="7"/>
    </row>
    <row r="6" spans="1:40" ht="36" x14ac:dyDescent="0.25">
      <c r="A6" s="514"/>
      <c r="B6" s="13" t="s">
        <v>29</v>
      </c>
      <c r="C6" s="13" t="s">
        <v>33</v>
      </c>
      <c r="D6" s="14" t="s">
        <v>31</v>
      </c>
      <c r="E6" s="515"/>
      <c r="F6" s="26">
        <v>92635649.828057796</v>
      </c>
      <c r="G6" s="516"/>
      <c r="H6" s="27">
        <v>23158913</v>
      </c>
      <c r="I6" s="27">
        <v>2315891.2457014401</v>
      </c>
      <c r="J6" s="27">
        <v>20843022</v>
      </c>
      <c r="K6" s="516"/>
      <c r="L6" s="27">
        <f t="shared" si="0"/>
        <v>115794562.8280578</v>
      </c>
      <c r="M6" s="28">
        <f t="shared" si="1"/>
        <v>0.79999999624862839</v>
      </c>
      <c r="N6" s="29">
        <v>0</v>
      </c>
      <c r="O6" s="27">
        <f>(F6-Q6)</f>
        <v>86151155.828057796</v>
      </c>
      <c r="P6" s="27">
        <f t="shared" si="2"/>
        <v>21537789.46199102</v>
      </c>
      <c r="Q6" s="27">
        <v>6484494</v>
      </c>
      <c r="R6" s="27">
        <f t="shared" si="3"/>
        <v>1621123.53800898</v>
      </c>
      <c r="S6" s="30">
        <f>(Q6/F6)*1</f>
        <v>6.9999983937457683E-2</v>
      </c>
      <c r="T6" s="517"/>
      <c r="U6" s="20">
        <v>0.1</v>
      </c>
      <c r="V6" s="21">
        <f>(E5/E15)</f>
        <v>0.12110055217596898</v>
      </c>
      <c r="W6" s="34">
        <v>7.0000000000000007E-2</v>
      </c>
      <c r="X6" s="11"/>
      <c r="Y6" s="23"/>
      <c r="Z6" s="24">
        <f>(AA12*Y5)</f>
        <v>23126633.854093015</v>
      </c>
      <c r="AA6" s="7"/>
      <c r="AB6" s="7"/>
      <c r="AC6" s="7"/>
      <c r="AD6" s="7"/>
      <c r="AE6" s="39"/>
      <c r="AF6" s="7"/>
      <c r="AG6" s="7"/>
      <c r="AH6" s="7"/>
      <c r="AI6" s="7"/>
      <c r="AJ6" s="7"/>
      <c r="AK6" s="7"/>
      <c r="AL6" s="7"/>
      <c r="AM6" s="7"/>
      <c r="AN6" s="7"/>
    </row>
    <row r="7" spans="1:40" ht="36" x14ac:dyDescent="0.25">
      <c r="A7" s="514" t="s">
        <v>36</v>
      </c>
      <c r="B7" s="13" t="s">
        <v>29</v>
      </c>
      <c r="C7" s="13" t="s">
        <v>30</v>
      </c>
      <c r="D7" s="14" t="s">
        <v>31</v>
      </c>
      <c r="E7" s="515">
        <v>2200878402</v>
      </c>
      <c r="F7" s="15">
        <f>(E7-F8)</f>
        <v>2005432400.8821881</v>
      </c>
      <c r="G7" s="516">
        <f>H7+H8</f>
        <v>402761337</v>
      </c>
      <c r="H7" s="15">
        <v>353899836</v>
      </c>
      <c r="I7" s="15">
        <v>17694991.772489902</v>
      </c>
      <c r="J7" s="15">
        <v>336204843.67730802</v>
      </c>
      <c r="K7" s="516">
        <f>L7+L8</f>
        <v>2603639739</v>
      </c>
      <c r="L7" s="32">
        <f t="shared" si="0"/>
        <v>2359332236.8821878</v>
      </c>
      <c r="M7" s="16">
        <f t="shared" si="1"/>
        <v>0.84999999980177798</v>
      </c>
      <c r="N7" s="17">
        <v>0</v>
      </c>
      <c r="O7" s="15">
        <f t="shared" ref="O7:O12" si="4">F7-Q7</f>
        <v>1865052132.8204348</v>
      </c>
      <c r="P7" s="15">
        <f t="shared" si="2"/>
        <v>329126847.48000002</v>
      </c>
      <c r="Q7" s="15">
        <f>F7*W7</f>
        <v>140380268.06175318</v>
      </c>
      <c r="R7" s="32">
        <f t="shared" si="3"/>
        <v>24772988.520000003</v>
      </c>
      <c r="S7" s="33">
        <f>(Q7/F7)*1</f>
        <v>7.0000000000000007E-2</v>
      </c>
      <c r="T7" s="517">
        <f>E7/E16</f>
        <v>0.26462614735276951</v>
      </c>
      <c r="U7" s="31">
        <v>0.05</v>
      </c>
      <c r="V7" s="21"/>
      <c r="W7" s="34">
        <v>7.0000000000000007E-2</v>
      </c>
      <c r="X7" s="40" t="s">
        <v>37</v>
      </c>
      <c r="Y7" s="41">
        <f>(E7/Z1)</f>
        <v>0.26462614735276951</v>
      </c>
      <c r="Z7" s="42">
        <f>(AA11*Y7)</f>
        <v>428469875.32234478</v>
      </c>
      <c r="AA7" s="7"/>
      <c r="AB7" s="7"/>
      <c r="AC7" s="7"/>
      <c r="AD7" s="43"/>
      <c r="AE7" s="43"/>
      <c r="AF7" s="43"/>
      <c r="AG7" s="43"/>
      <c r="AH7" s="43"/>
      <c r="AI7" s="43"/>
      <c r="AJ7" s="43"/>
      <c r="AK7" s="7"/>
      <c r="AL7" s="7"/>
      <c r="AM7" s="7"/>
      <c r="AN7" s="7"/>
    </row>
    <row r="8" spans="1:40" ht="36" customHeight="1" x14ac:dyDescent="0.25">
      <c r="A8" s="514"/>
      <c r="B8" s="13" t="s">
        <v>29</v>
      </c>
      <c r="C8" s="13" t="s">
        <v>33</v>
      </c>
      <c r="D8" s="14" t="s">
        <v>31</v>
      </c>
      <c r="E8" s="515"/>
      <c r="F8" s="26">
        <v>195446001.11781201</v>
      </c>
      <c r="G8" s="516"/>
      <c r="H8" s="27">
        <v>48861501</v>
      </c>
      <c r="I8" s="27">
        <v>2443075.0139726498</v>
      </c>
      <c r="J8" s="27">
        <v>46418426</v>
      </c>
      <c r="K8" s="516"/>
      <c r="L8" s="27">
        <f t="shared" si="0"/>
        <v>244307502.11781201</v>
      </c>
      <c r="M8" s="28">
        <f t="shared" si="1"/>
        <v>0.79999999764052432</v>
      </c>
      <c r="N8" s="29">
        <v>0</v>
      </c>
      <c r="O8" s="27">
        <f t="shared" si="4"/>
        <v>181764781.03956518</v>
      </c>
      <c r="P8" s="27">
        <f t="shared" si="2"/>
        <v>45441195.93</v>
      </c>
      <c r="Q8" s="27">
        <f>F8*W8</f>
        <v>13681220.078246841</v>
      </c>
      <c r="R8" s="27">
        <f t="shared" si="3"/>
        <v>3420305.0700000003</v>
      </c>
      <c r="S8" s="30">
        <f>(Q8/F8)*1</f>
        <v>7.0000000000000007E-2</v>
      </c>
      <c r="T8" s="517"/>
      <c r="U8" s="20">
        <v>0.05</v>
      </c>
      <c r="V8" s="21">
        <f>(E7/E15)</f>
        <v>0.25550226829394207</v>
      </c>
      <c r="W8" s="34">
        <v>7.0000000000000007E-2</v>
      </c>
      <c r="X8" s="518" t="s">
        <v>38</v>
      </c>
      <c r="Y8" s="520">
        <f>(E9/Z1)</f>
        <v>0.14704619562691279</v>
      </c>
      <c r="Z8" s="518">
        <f>(AA12*Y7)</f>
        <v>48793397.730657019</v>
      </c>
      <c r="AA8" s="509"/>
      <c r="AB8" s="508"/>
      <c r="AC8" s="7"/>
      <c r="AD8" s="44"/>
      <c r="AE8" s="45"/>
      <c r="AF8" s="44"/>
      <c r="AG8" s="44"/>
      <c r="AH8" s="46"/>
      <c r="AI8" s="47"/>
      <c r="AJ8" s="47"/>
      <c r="AK8" s="7"/>
      <c r="AL8" s="39"/>
      <c r="AM8" s="7"/>
      <c r="AN8" s="7"/>
    </row>
    <row r="9" spans="1:40" ht="38.25" customHeight="1" x14ac:dyDescent="0.25">
      <c r="A9" s="514" t="s">
        <v>39</v>
      </c>
      <c r="B9" s="13" t="s">
        <v>29</v>
      </c>
      <c r="C9" s="13" t="s">
        <v>30</v>
      </c>
      <c r="D9" s="14" t="s">
        <v>31</v>
      </c>
      <c r="E9" s="515">
        <v>1222973615</v>
      </c>
      <c r="F9" s="15">
        <f>(E9-F10)</f>
        <v>1142671364.1519346</v>
      </c>
      <c r="G9" s="516">
        <f>H9+H10</f>
        <v>221723450.791518</v>
      </c>
      <c r="H9" s="15">
        <v>201647887.791518</v>
      </c>
      <c r="I9" s="15">
        <v>0</v>
      </c>
      <c r="J9" s="15">
        <f>F9/M11-F9</f>
        <v>201647887.7915175</v>
      </c>
      <c r="K9" s="516">
        <f>L9+L10</f>
        <v>1444697065.7915182</v>
      </c>
      <c r="L9" s="32">
        <f t="shared" si="0"/>
        <v>1344319251.9434526</v>
      </c>
      <c r="M9" s="16">
        <f t="shared" si="1"/>
        <v>0.85</v>
      </c>
      <c r="N9" s="17">
        <v>0</v>
      </c>
      <c r="O9" s="15">
        <f t="shared" si="4"/>
        <v>1062684368.6612992</v>
      </c>
      <c r="P9" s="15">
        <f t="shared" si="2"/>
        <v>187532535.64611173</v>
      </c>
      <c r="Q9" s="15">
        <f>F9*W9</f>
        <v>79986995.490635425</v>
      </c>
      <c r="R9" s="32">
        <f t="shared" si="3"/>
        <v>14115352.145406261</v>
      </c>
      <c r="S9" s="33">
        <f>(Q9/F9)*1</f>
        <v>7.0000000000000007E-2</v>
      </c>
      <c r="T9" s="517">
        <f>E9/E16</f>
        <v>0.14704619562691279</v>
      </c>
      <c r="U9" s="20">
        <v>0.85</v>
      </c>
      <c r="V9" s="21"/>
      <c r="W9" s="34">
        <v>7.0000000000000007E-2</v>
      </c>
      <c r="X9" s="518"/>
      <c r="Y9" s="520"/>
      <c r="Z9" s="518"/>
      <c r="AA9" s="509"/>
      <c r="AB9" s="508"/>
      <c r="AC9" s="7"/>
      <c r="AD9" s="503"/>
      <c r="AE9" s="507"/>
      <c r="AF9" s="44"/>
      <c r="AG9" s="44"/>
      <c r="AH9" s="46"/>
      <c r="AI9" s="47"/>
      <c r="AJ9" s="47"/>
      <c r="AK9" s="7"/>
      <c r="AL9" s="39"/>
      <c r="AM9" s="7"/>
      <c r="AN9" s="7"/>
    </row>
    <row r="10" spans="1:40" ht="36" x14ac:dyDescent="0.25">
      <c r="A10" s="514"/>
      <c r="B10" s="13" t="s">
        <v>29</v>
      </c>
      <c r="C10" s="13" t="s">
        <v>33</v>
      </c>
      <c r="D10" s="14" t="s">
        <v>31</v>
      </c>
      <c r="E10" s="515"/>
      <c r="F10" s="26">
        <v>80302250.848065495</v>
      </c>
      <c r="G10" s="516"/>
      <c r="H10" s="27">
        <v>20075563</v>
      </c>
      <c r="I10" s="27">
        <v>0</v>
      </c>
      <c r="J10" s="27">
        <v>20075563</v>
      </c>
      <c r="K10" s="516"/>
      <c r="L10" s="27">
        <f t="shared" si="0"/>
        <v>100377813.8480655</v>
      </c>
      <c r="M10" s="28">
        <f t="shared" si="1"/>
        <v>0.79999999770480257</v>
      </c>
      <c r="N10" s="29">
        <v>0</v>
      </c>
      <c r="O10" s="27">
        <f t="shared" si="4"/>
        <v>74681093.848065495</v>
      </c>
      <c r="P10" s="27">
        <f t="shared" si="2"/>
        <v>18670273.729841147</v>
      </c>
      <c r="Q10" s="27">
        <v>5621157</v>
      </c>
      <c r="R10" s="27">
        <f t="shared" si="3"/>
        <v>1405289.2701588518</v>
      </c>
      <c r="S10" s="30">
        <f>(Q10/F10)*1</f>
        <v>6.9999993034260202E-2</v>
      </c>
      <c r="T10" s="517"/>
      <c r="U10" s="31">
        <v>0.85</v>
      </c>
      <c r="V10" s="21">
        <f>(E9/E15)</f>
        <v>0.14197628202093748</v>
      </c>
      <c r="W10" s="34">
        <v>7.0000000000000007E-2</v>
      </c>
      <c r="X10" s="512"/>
      <c r="Y10" s="513">
        <f>SUM(Y3:Y9)</f>
        <v>1</v>
      </c>
      <c r="Z10" s="518">
        <f>(AA11*Y8)</f>
        <v>238090097.05642396</v>
      </c>
      <c r="AA10" s="7"/>
      <c r="AB10" s="7"/>
      <c r="AC10" s="7"/>
      <c r="AD10" s="503"/>
      <c r="AE10" s="507"/>
      <c r="AF10" s="44"/>
      <c r="AG10" s="44"/>
      <c r="AH10" s="46"/>
      <c r="AI10" s="47"/>
      <c r="AJ10" s="47"/>
      <c r="AK10" s="7"/>
      <c r="AL10" s="39"/>
      <c r="AM10" s="7"/>
      <c r="AN10" s="7"/>
    </row>
    <row r="11" spans="1:40" ht="36" x14ac:dyDescent="0.25">
      <c r="A11" s="514" t="s">
        <v>40</v>
      </c>
      <c r="B11" s="13" t="s">
        <v>29</v>
      </c>
      <c r="C11" s="13" t="s">
        <v>30</v>
      </c>
      <c r="D11" s="14" t="s">
        <v>31</v>
      </c>
      <c r="E11" s="515">
        <v>296994259</v>
      </c>
      <c r="F11" s="15">
        <v>276204660.87</v>
      </c>
      <c r="G11" s="516">
        <f>H11+H12</f>
        <v>53939398.977058798</v>
      </c>
      <c r="H11" s="15">
        <v>48741998.977058798</v>
      </c>
      <c r="I11" s="15">
        <v>48741998.977058798</v>
      </c>
      <c r="J11" s="15">
        <v>0</v>
      </c>
      <c r="K11" s="516">
        <f>L11+L12</f>
        <v>350933657.97705877</v>
      </c>
      <c r="L11" s="32">
        <f t="shared" si="0"/>
        <v>324946659.84705877</v>
      </c>
      <c r="M11" s="16">
        <f t="shared" si="1"/>
        <v>0.8500000000000002</v>
      </c>
      <c r="N11" s="17">
        <v>0</v>
      </c>
      <c r="O11" s="15">
        <f t="shared" si="4"/>
        <v>276204660.87</v>
      </c>
      <c r="P11" s="15">
        <f t="shared" si="2"/>
        <v>48741998.977058798</v>
      </c>
      <c r="Q11" s="15">
        <f>F11*S11</f>
        <v>0</v>
      </c>
      <c r="R11" s="15">
        <f>H11*S11</f>
        <v>0</v>
      </c>
      <c r="S11" s="18">
        <v>0</v>
      </c>
      <c r="T11" s="517"/>
      <c r="U11" s="20">
        <v>1</v>
      </c>
      <c r="V11" s="21"/>
      <c r="W11" s="7"/>
      <c r="X11" s="512"/>
      <c r="Y11" s="513"/>
      <c r="Z11" s="518"/>
      <c r="AA11" s="49">
        <v>1619151696.1139801</v>
      </c>
      <c r="AB11" s="7"/>
      <c r="AC11" s="7"/>
      <c r="AD11" s="503"/>
      <c r="AE11" s="507"/>
      <c r="AF11" s="44"/>
      <c r="AG11" s="44"/>
      <c r="AH11" s="46"/>
      <c r="AI11" s="47"/>
      <c r="AJ11" s="47"/>
      <c r="AK11" s="7"/>
      <c r="AL11" s="39"/>
      <c r="AM11" s="7"/>
      <c r="AN11" s="7"/>
    </row>
    <row r="12" spans="1:40" ht="36" x14ac:dyDescent="0.25">
      <c r="A12" s="514"/>
      <c r="B12" s="13" t="s">
        <v>29</v>
      </c>
      <c r="C12" s="13" t="s">
        <v>33</v>
      </c>
      <c r="D12" s="14" t="s">
        <v>31</v>
      </c>
      <c r="E12" s="515"/>
      <c r="F12" s="26">
        <v>20789598.129999999</v>
      </c>
      <c r="G12" s="516"/>
      <c r="H12" s="27">
        <v>5197400</v>
      </c>
      <c r="I12" s="27">
        <v>5197399.5324999997</v>
      </c>
      <c r="J12" s="27">
        <v>0</v>
      </c>
      <c r="K12" s="516"/>
      <c r="L12" s="27">
        <f t="shared" si="0"/>
        <v>25986998.129999999</v>
      </c>
      <c r="M12" s="28">
        <f t="shared" si="1"/>
        <v>0.79999998560818764</v>
      </c>
      <c r="N12" s="29">
        <v>0</v>
      </c>
      <c r="O12" s="27">
        <f t="shared" si="4"/>
        <v>20789598.129999999</v>
      </c>
      <c r="P12" s="27">
        <f t="shared" si="2"/>
        <v>5197400</v>
      </c>
      <c r="Q12" s="27">
        <f>F12*S12</f>
        <v>0</v>
      </c>
      <c r="R12" s="27">
        <f>H12*S12</f>
        <v>0</v>
      </c>
      <c r="S12" s="30">
        <v>0</v>
      </c>
      <c r="T12" s="517"/>
      <c r="U12" s="20">
        <v>1</v>
      </c>
      <c r="V12" s="21">
        <f>(E11/E15)</f>
        <v>3.447837316946805E-2</v>
      </c>
      <c r="W12" s="7"/>
      <c r="X12" s="512"/>
      <c r="Y12" s="513"/>
      <c r="Z12" s="519">
        <f>(AA12*Y8)</f>
        <v>27113282.567800131</v>
      </c>
      <c r="AA12" s="49">
        <v>184386154.65164599</v>
      </c>
      <c r="AB12" s="7"/>
      <c r="AC12" s="7"/>
      <c r="AD12" s="503"/>
      <c r="AE12" s="507"/>
      <c r="AF12" s="503"/>
      <c r="AG12" s="44"/>
      <c r="AH12" s="510"/>
      <c r="AI12" s="47"/>
      <c r="AJ12" s="47"/>
      <c r="AK12" s="7"/>
      <c r="AL12" s="39"/>
      <c r="AM12" s="7"/>
      <c r="AN12" s="7"/>
    </row>
    <row r="13" spans="1:40" ht="30.75" customHeight="1" x14ac:dyDescent="0.25">
      <c r="A13" s="511" t="s">
        <v>41</v>
      </c>
      <c r="B13" s="51" t="s">
        <v>29</v>
      </c>
      <c r="C13" s="51" t="s">
        <v>30</v>
      </c>
      <c r="D13" s="52" t="s">
        <v>31</v>
      </c>
      <c r="E13" s="53" t="s">
        <v>42</v>
      </c>
      <c r="F13" s="54">
        <f>SUM(F3,F5,F7,F9,F11)</f>
        <v>7854565382.0213404</v>
      </c>
      <c r="G13" s="53" t="s">
        <v>42</v>
      </c>
      <c r="H13" s="55">
        <f t="shared" ref="H13:J14" si="5">SUM(H3,H5,H7,H9,H11)</f>
        <v>1386099774.7685769</v>
      </c>
      <c r="I13" s="55">
        <f t="shared" si="5"/>
        <v>83210800.929053605</v>
      </c>
      <c r="J13" s="55">
        <f t="shared" si="5"/>
        <v>1302888973.5035918</v>
      </c>
      <c r="K13" s="56"/>
      <c r="L13" s="55">
        <f>SUM(F13,H13)</f>
        <v>9240665156.789917</v>
      </c>
      <c r="M13" s="57">
        <f t="shared" si="1"/>
        <v>0.84999999986471875</v>
      </c>
      <c r="N13" s="58">
        <v>0</v>
      </c>
      <c r="O13" s="55">
        <v>7383291460</v>
      </c>
      <c r="P13" s="55">
        <f>SUM(P3,P5,P7,P9,P11)</f>
        <v>1302933788.317575</v>
      </c>
      <c r="Q13" s="55">
        <v>471273922</v>
      </c>
      <c r="R13" s="55">
        <v>83165987</v>
      </c>
      <c r="S13" s="59">
        <f>(Q13/F13)*1</f>
        <v>5.9999999882707648E-2</v>
      </c>
      <c r="T13" s="19" t="s">
        <v>42</v>
      </c>
      <c r="V13" s="60"/>
      <c r="W13" s="7"/>
      <c r="X13" s="512"/>
      <c r="Y13" s="513"/>
      <c r="Z13" s="519"/>
      <c r="AA13" s="49"/>
      <c r="AB13" s="7"/>
      <c r="AC13" s="7"/>
      <c r="AD13" s="503"/>
      <c r="AE13" s="507"/>
      <c r="AF13" s="503"/>
      <c r="AG13" s="44"/>
      <c r="AH13" s="510"/>
      <c r="AI13" s="47"/>
      <c r="AJ13" s="47"/>
      <c r="AK13" s="7"/>
      <c r="AL13" s="39"/>
      <c r="AM13" s="7"/>
      <c r="AN13" s="7"/>
    </row>
    <row r="14" spans="1:40" ht="33" customHeight="1" x14ac:dyDescent="0.25">
      <c r="A14" s="511"/>
      <c r="B14" s="51" t="s">
        <v>29</v>
      </c>
      <c r="C14" s="51" t="s">
        <v>33</v>
      </c>
      <c r="D14" s="52" t="s">
        <v>31</v>
      </c>
      <c r="E14" s="53" t="s">
        <v>42</v>
      </c>
      <c r="F14" s="54">
        <f>SUM(F4,F6,F8,F10,F12)</f>
        <v>759363631.97865927</v>
      </c>
      <c r="G14" s="53" t="s">
        <v>42</v>
      </c>
      <c r="H14" s="55">
        <f t="shared" si="5"/>
        <v>189840913</v>
      </c>
      <c r="I14" s="55">
        <f t="shared" si="5"/>
        <v>9956365.7921740897</v>
      </c>
      <c r="J14" s="55">
        <f t="shared" si="5"/>
        <v>179884547</v>
      </c>
      <c r="K14" s="56"/>
      <c r="L14" s="55">
        <f>SUM(L4,L6,L8,L10,L12)</f>
        <v>949204544.97865927</v>
      </c>
      <c r="M14" s="57">
        <f t="shared" si="1"/>
        <v>0.79999999578144865</v>
      </c>
      <c r="N14" s="58">
        <v>0</v>
      </c>
      <c r="O14" s="55">
        <f>SUM(O4,O6,O8,O10,O12)</f>
        <v>713801814.00726831</v>
      </c>
      <c r="P14" s="55">
        <f>SUM(P4,P6,P8,P10,P12)</f>
        <v>178450458.2390219</v>
      </c>
      <c r="Q14" s="55">
        <f>SUM(Q4,Q6,Q8,Q10)</f>
        <v>45561817.971390955</v>
      </c>
      <c r="R14" s="55">
        <f>(H14*((Q14/F14)))</f>
        <v>11390454.79316785</v>
      </c>
      <c r="S14" s="59">
        <f>(Q14/F14)*1</f>
        <v>6.0000000069362548E-2</v>
      </c>
      <c r="T14" s="19" t="s">
        <v>42</v>
      </c>
      <c r="V14">
        <v>66536113.712035999</v>
      </c>
      <c r="W14" s="7"/>
      <c r="X14" s="512"/>
      <c r="Y14" s="513"/>
      <c r="Z14" s="519"/>
      <c r="AA14" s="49">
        <v>1803537850.76563</v>
      </c>
      <c r="AB14" s="7"/>
      <c r="AC14" s="7"/>
      <c r="AD14" s="503"/>
      <c r="AE14" s="507"/>
      <c r="AF14" s="503"/>
      <c r="AG14" s="44"/>
      <c r="AH14" s="510"/>
      <c r="AI14" s="47"/>
      <c r="AJ14" s="47"/>
      <c r="AK14" s="7"/>
      <c r="AL14" s="39"/>
      <c r="AM14" s="7"/>
      <c r="AN14" s="7"/>
    </row>
    <row r="15" spans="1:40" ht="36" x14ac:dyDescent="0.25">
      <c r="A15" s="50" t="s">
        <v>43</v>
      </c>
      <c r="B15" s="61" t="s">
        <v>29</v>
      </c>
      <c r="C15" s="62" t="s">
        <v>42</v>
      </c>
      <c r="D15" s="63" t="s">
        <v>31</v>
      </c>
      <c r="E15" s="64">
        <f>SUM(E3:E12)</f>
        <v>8613929014</v>
      </c>
      <c r="F15" s="55"/>
      <c r="G15" s="64">
        <f t="shared" ref="G15:L15" si="6">SUM(G3:G12)</f>
        <v>1575940687.7685769</v>
      </c>
      <c r="H15" s="55">
        <f t="shared" si="6"/>
        <v>1575940687.7685769</v>
      </c>
      <c r="I15" s="55">
        <f t="shared" si="6"/>
        <v>93167166.721227676</v>
      </c>
      <c r="J15" s="55">
        <f t="shared" si="6"/>
        <v>1482773520.5035918</v>
      </c>
      <c r="K15" s="64">
        <f t="shared" si="6"/>
        <v>10189869701.768578</v>
      </c>
      <c r="L15" s="55">
        <f t="shared" si="6"/>
        <v>10189869701.768578</v>
      </c>
      <c r="M15" s="62" t="s">
        <v>42</v>
      </c>
      <c r="N15" s="58">
        <v>0</v>
      </c>
      <c r="O15" s="55">
        <f>SUM(O13:O14)</f>
        <v>8097093274.007268</v>
      </c>
      <c r="P15" s="55">
        <f>SUM(P3:P12)</f>
        <v>1481384246.5565972</v>
      </c>
      <c r="Q15" s="55">
        <f>SUM(Q13:Q14)</f>
        <v>516835739.97139096</v>
      </c>
      <c r="R15" s="55">
        <f>(H15*((Q15/E15)))</f>
        <v>94556441.107200325</v>
      </c>
      <c r="S15" s="59">
        <f>(Q15/E15)*1</f>
        <v>5.9999999899162271E-2</v>
      </c>
      <c r="T15" s="65">
        <f>SUM(T3:T12)</f>
        <v>1</v>
      </c>
      <c r="V15">
        <v>5621157.5593645899</v>
      </c>
      <c r="W15" s="7"/>
      <c r="X15" s="512"/>
      <c r="Y15" s="513"/>
      <c r="Z15" s="519"/>
      <c r="AA15" s="7"/>
      <c r="AB15" s="7"/>
      <c r="AC15" s="7"/>
      <c r="AD15" s="503"/>
      <c r="AE15" s="507"/>
      <c r="AF15" s="503"/>
      <c r="AG15" s="44"/>
      <c r="AH15" s="510"/>
      <c r="AI15" s="47"/>
      <c r="AJ15" s="47"/>
      <c r="AK15" s="7"/>
      <c r="AL15" s="39"/>
      <c r="AM15" s="10"/>
      <c r="AN15" s="10"/>
    </row>
    <row r="16" spans="1:40" ht="15.75" customHeight="1" x14ac:dyDescent="0.25">
      <c r="D16" t="s">
        <v>44</v>
      </c>
      <c r="E16" s="66">
        <f>(E15-E11)</f>
        <v>8316934755</v>
      </c>
      <c r="F16" s="67"/>
      <c r="H16" s="66"/>
      <c r="I16" s="66"/>
      <c r="J16" s="66"/>
      <c r="L16" s="66"/>
      <c r="W16" s="7"/>
      <c r="X16" s="512"/>
      <c r="Y16" s="513"/>
      <c r="Z16" s="519"/>
      <c r="AA16" s="7"/>
      <c r="AB16" s="7"/>
      <c r="AC16" s="7"/>
      <c r="AD16" s="44"/>
      <c r="AE16" s="45"/>
      <c r="AF16" s="44"/>
      <c r="AG16" s="44"/>
      <c r="AH16" s="46"/>
      <c r="AI16" s="47"/>
      <c r="AJ16" s="47"/>
      <c r="AK16" s="7"/>
      <c r="AL16" s="39"/>
      <c r="AM16" s="10"/>
      <c r="AN16" s="10"/>
    </row>
    <row r="17" spans="1:40" x14ac:dyDescent="0.25">
      <c r="A17" s="7"/>
      <c r="B17" s="45"/>
      <c r="C17" s="7"/>
      <c r="D17" s="7"/>
      <c r="F17" s="67"/>
      <c r="H17" s="67" t="s">
        <v>45</v>
      </c>
      <c r="I17" s="67">
        <f>(E3+E5)</f>
        <v>4893082738</v>
      </c>
      <c r="L17" s="67">
        <f>(F3*0.15)</f>
        <v>521961156.8917914</v>
      </c>
      <c r="N17" s="10"/>
      <c r="O17" s="10"/>
      <c r="P17" s="10"/>
      <c r="Q17" s="27">
        <f>F17*W17</f>
        <v>0</v>
      </c>
      <c r="R17" s="10">
        <v>83165986.383535698</v>
      </c>
      <c r="S17" s="10">
        <f>(F14*0.06)</f>
        <v>45561817.918719552</v>
      </c>
      <c r="T17" s="68"/>
      <c r="U17" s="68"/>
      <c r="V17" s="68"/>
      <c r="W17" s="49"/>
      <c r="X17" s="512"/>
      <c r="Y17" s="513"/>
      <c r="Z17" s="512"/>
      <c r="AA17" s="7"/>
      <c r="AB17" s="7"/>
      <c r="AC17" s="7"/>
      <c r="AD17" s="44"/>
      <c r="AE17" s="45"/>
      <c r="AF17" s="503"/>
      <c r="AG17" s="503"/>
      <c r="AH17" s="46"/>
      <c r="AI17" s="69"/>
      <c r="AJ17" s="69"/>
      <c r="AK17" s="7"/>
      <c r="AL17" s="39"/>
      <c r="AM17" s="47"/>
      <c r="AN17" s="47"/>
    </row>
    <row r="18" spans="1:40" x14ac:dyDescent="0.25">
      <c r="A18" s="7"/>
      <c r="B18" s="507"/>
      <c r="C18" s="7"/>
      <c r="D18" s="7"/>
      <c r="E18" t="s">
        <v>46</v>
      </c>
      <c r="F18" s="67">
        <f>SUM(F3,F5)</f>
        <v>4430256956.117218</v>
      </c>
      <c r="H18" t="s">
        <v>47</v>
      </c>
      <c r="I18" s="70">
        <f>(E3/I17)</f>
        <v>0.78681097053625992</v>
      </c>
      <c r="L18" s="67"/>
      <c r="M18" s="66">
        <f>(L5*0.85)</f>
        <v>950515910.34615088</v>
      </c>
      <c r="O18" s="67">
        <v>7383291459.3133802</v>
      </c>
      <c r="P18" s="67"/>
      <c r="Q18" s="71">
        <f>(F14*0.06)</f>
        <v>45561817.918719552</v>
      </c>
      <c r="R18" s="67">
        <f>(F13*0.06)</f>
        <v>471273922.92128038</v>
      </c>
      <c r="S18" s="67">
        <v>566044.50936460495</v>
      </c>
      <c r="T18" s="68">
        <f>(Q13-R18)</f>
        <v>-0.9212803840637207</v>
      </c>
      <c r="U18" s="68"/>
      <c r="V18" s="68"/>
      <c r="W18" s="49"/>
      <c r="X18" s="512"/>
      <c r="Y18" s="513"/>
      <c r="Z18" s="512"/>
      <c r="AA18" s="7"/>
      <c r="AB18" s="7"/>
      <c r="AC18" s="7"/>
      <c r="AD18" s="44"/>
      <c r="AE18" s="45"/>
      <c r="AF18" s="503"/>
      <c r="AG18" s="503"/>
      <c r="AH18" s="72"/>
      <c r="AI18" s="73"/>
      <c r="AJ18" s="73"/>
      <c r="AK18" s="7"/>
      <c r="AL18" s="39"/>
      <c r="AM18" s="7"/>
      <c r="AN18" s="7"/>
    </row>
    <row r="19" spans="1:40" x14ac:dyDescent="0.25">
      <c r="A19" s="7"/>
      <c r="B19" s="507"/>
      <c r="C19" s="7"/>
      <c r="D19" s="74" t="s">
        <v>48</v>
      </c>
      <c r="M19" s="66">
        <f>(L6*0.8)</f>
        <v>92635650.26244624</v>
      </c>
      <c r="O19" s="67"/>
      <c r="Q19">
        <v>471273922.707964</v>
      </c>
      <c r="R19" s="67">
        <f>(F14*0.06)</f>
        <v>45561817.918719552</v>
      </c>
      <c r="S19" s="67">
        <v>-566045.10808411206</v>
      </c>
      <c r="T19" s="75">
        <f>(Q14-R19)</f>
        <v>5.26714026927948E-2</v>
      </c>
      <c r="U19" s="76"/>
      <c r="V19" s="76"/>
      <c r="W19" s="7"/>
      <c r="X19" s="512"/>
      <c r="Y19" s="513"/>
      <c r="Z19" s="4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39"/>
      <c r="AM19" s="7"/>
      <c r="AN19" s="7"/>
    </row>
    <row r="20" spans="1:40" x14ac:dyDescent="0.25">
      <c r="A20" s="7"/>
      <c r="B20" s="507"/>
      <c r="C20" s="507"/>
      <c r="D20" s="7"/>
      <c r="E20" t="s">
        <v>49</v>
      </c>
      <c r="F20" s="67">
        <f>SUM(F4,F6)</f>
        <v>462825781.88278174</v>
      </c>
      <c r="H20" t="s">
        <v>50</v>
      </c>
      <c r="I20">
        <f>(E5/I17)</f>
        <v>0.21318902946374008</v>
      </c>
      <c r="L20" s="67">
        <f>SUM(L13:L14)</f>
        <v>10189869701.768576</v>
      </c>
      <c r="M20" s="66">
        <f>(L7*0.85)</f>
        <v>2005432401.3498597</v>
      </c>
      <c r="O20" s="67"/>
      <c r="R20" s="67">
        <f>SUM(R18:R19)</f>
        <v>516835740.83999991</v>
      </c>
      <c r="T20" s="75"/>
      <c r="U20" s="76"/>
      <c r="V20" s="76"/>
      <c r="W20" s="7"/>
      <c r="X20" s="77"/>
      <c r="Y20" s="78"/>
      <c r="Z20" s="7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0"/>
      <c r="AM20" s="7"/>
      <c r="AN20" s="7"/>
    </row>
    <row r="21" spans="1:40" x14ac:dyDescent="0.25">
      <c r="A21" s="7"/>
      <c r="B21" s="507"/>
      <c r="C21" s="507"/>
      <c r="D21" s="79"/>
      <c r="E21" s="75"/>
      <c r="F21" s="39"/>
      <c r="G21" s="66">
        <f>SUM(H9,H10)</f>
        <v>221723450.791518</v>
      </c>
      <c r="H21" s="66"/>
      <c r="I21" s="66"/>
      <c r="J21" s="66"/>
      <c r="K21" s="66"/>
      <c r="M21" s="66">
        <f>(L8*0.85)</f>
        <v>207661376.8001402</v>
      </c>
      <c r="O21" s="67"/>
      <c r="T21" s="80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0"/>
      <c r="AM21" s="7"/>
      <c r="AN21" s="7"/>
    </row>
    <row r="22" spans="1:40" ht="44.25" customHeight="1" x14ac:dyDescent="0.25">
      <c r="A22" s="7"/>
      <c r="B22" s="507"/>
      <c r="C22" s="7"/>
      <c r="D22" s="79"/>
      <c r="E22" s="75"/>
      <c r="F22" s="39"/>
      <c r="H22" s="66"/>
      <c r="I22" s="66"/>
      <c r="J22" s="66"/>
      <c r="O22" s="67"/>
      <c r="R22" s="67"/>
      <c r="T22" s="80"/>
      <c r="U22" s="7"/>
      <c r="V22" s="7"/>
      <c r="W22" s="7"/>
      <c r="X22" s="7"/>
      <c r="Y22" s="508"/>
      <c r="Z22" s="50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0"/>
      <c r="AM22" s="7"/>
      <c r="AN22" s="7"/>
    </row>
    <row r="23" spans="1:40" x14ac:dyDescent="0.25">
      <c r="A23" s="7"/>
      <c r="B23" s="45"/>
      <c r="C23" s="7"/>
      <c r="D23" s="79"/>
      <c r="E23" s="75" t="s">
        <v>49</v>
      </c>
      <c r="F23" s="39"/>
      <c r="K23" t="s">
        <v>50</v>
      </c>
      <c r="L23" s="67">
        <f>(F5+H5)</f>
        <v>1118254012.1719422</v>
      </c>
      <c r="M23" s="66">
        <f>(L23*0.85)</f>
        <v>950515910.34615088</v>
      </c>
      <c r="P23" t="s">
        <v>46</v>
      </c>
      <c r="Q23" s="81">
        <v>471273922.92000002</v>
      </c>
      <c r="R23" s="81">
        <v>83162540.565217495</v>
      </c>
      <c r="T23" s="80"/>
      <c r="U23" s="7"/>
      <c r="V23" s="7"/>
      <c r="W23" s="7"/>
      <c r="X23" s="7"/>
      <c r="Y23" s="508"/>
      <c r="Z23" s="50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/>
      <c r="AM23" s="7"/>
      <c r="AN23" s="7"/>
    </row>
    <row r="24" spans="1:40" ht="15" customHeight="1" x14ac:dyDescent="0.25">
      <c r="A24" s="7"/>
      <c r="B24" s="45"/>
      <c r="C24" s="7"/>
      <c r="D24" s="79" t="s">
        <v>51</v>
      </c>
      <c r="E24" s="75"/>
      <c r="F24" s="39"/>
      <c r="L24" s="82"/>
      <c r="M24" s="66"/>
      <c r="O24" t="s">
        <v>52</v>
      </c>
      <c r="P24" t="s">
        <v>49</v>
      </c>
      <c r="Q24" s="81">
        <v>45561817.920000002</v>
      </c>
      <c r="R24" s="81">
        <v>11389982.6348524</v>
      </c>
      <c r="T24" s="7"/>
      <c r="U24" s="7"/>
      <c r="V24" s="7"/>
      <c r="W24" s="7"/>
      <c r="X24" s="7"/>
      <c r="Y24" s="508"/>
      <c r="Z24" s="509"/>
      <c r="AA24" s="7"/>
      <c r="AB24" s="7"/>
      <c r="AC24" s="7"/>
      <c r="AD24" s="10"/>
      <c r="AE24" s="10"/>
      <c r="AF24" s="10"/>
      <c r="AG24" s="7"/>
      <c r="AH24" s="7"/>
      <c r="AI24" s="7"/>
      <c r="AJ24" s="7"/>
      <c r="AK24" s="7"/>
      <c r="AL24" s="10"/>
      <c r="AM24" s="7"/>
      <c r="AN24" s="7"/>
    </row>
    <row r="25" spans="1:40" x14ac:dyDescent="0.25">
      <c r="A25" s="10"/>
      <c r="B25" s="45"/>
      <c r="C25" s="7"/>
      <c r="D25" s="83"/>
      <c r="E25" s="83" t="s">
        <v>46</v>
      </c>
      <c r="F25" s="39"/>
      <c r="L25" s="67">
        <f>(F6+H6)</f>
        <v>115794562.8280578</v>
      </c>
      <c r="M25" s="66">
        <f>(L25*0.8)</f>
        <v>92635650.26244624</v>
      </c>
      <c r="P25" t="s">
        <v>53</v>
      </c>
      <c r="Q25" s="81">
        <v>516835740.83999997</v>
      </c>
      <c r="R25" s="81">
        <v>94552523.200069904</v>
      </c>
      <c r="T25" s="7"/>
      <c r="U25" s="7"/>
      <c r="V25" s="7"/>
      <c r="W25" s="7"/>
      <c r="X25" s="7"/>
      <c r="Y25" s="508"/>
      <c r="Z25" s="509"/>
      <c r="AA25" s="7"/>
      <c r="AB25" s="7"/>
      <c r="AC25" s="7"/>
      <c r="AD25" s="10"/>
      <c r="AE25" s="10"/>
      <c r="AF25" s="10"/>
      <c r="AG25" s="7"/>
      <c r="AH25" s="7"/>
      <c r="AI25" s="7"/>
      <c r="AJ25" s="7"/>
      <c r="AK25" s="7"/>
      <c r="AL25" s="10"/>
      <c r="AM25" s="7"/>
      <c r="AN25" s="7"/>
    </row>
    <row r="26" spans="1:40" x14ac:dyDescent="0.25">
      <c r="A26" s="66"/>
      <c r="B26" s="7"/>
      <c r="C26" s="7"/>
      <c r="D26" s="7"/>
      <c r="E26" s="7"/>
      <c r="F26" s="39"/>
      <c r="W26" s="7"/>
      <c r="X26" s="7"/>
      <c r="Y26" s="508"/>
      <c r="Z26" s="509"/>
      <c r="AA26" s="7"/>
      <c r="AB26" s="7"/>
      <c r="AC26" s="7"/>
      <c r="AD26" s="10"/>
      <c r="AE26" s="10"/>
      <c r="AF26" s="10"/>
      <c r="AG26" s="10"/>
      <c r="AH26" s="10"/>
      <c r="AI26" s="10"/>
      <c r="AJ26" s="7"/>
      <c r="AK26" s="7"/>
      <c r="AL26" s="7"/>
      <c r="AM26" s="7"/>
      <c r="AN26" s="7"/>
    </row>
    <row r="27" spans="1:40" x14ac:dyDescent="0.25">
      <c r="A27" s="66"/>
      <c r="B27" s="7"/>
      <c r="C27" s="7"/>
      <c r="D27" s="7"/>
      <c r="E27" s="7"/>
      <c r="F27" s="7"/>
      <c r="G27" s="7"/>
      <c r="H27" s="7"/>
      <c r="I27" s="7"/>
      <c r="L27" s="67">
        <f>SUM(L23:L25)</f>
        <v>1234048575</v>
      </c>
      <c r="Q27" s="67">
        <v>460324384.552324</v>
      </c>
      <c r="R27" s="67">
        <v>81233714.922790393</v>
      </c>
      <c r="W27" s="7"/>
      <c r="X27" s="7"/>
      <c r="Y27" s="7"/>
      <c r="Z27" s="11"/>
      <c r="AA27" s="7"/>
      <c r="AB27" s="7"/>
      <c r="AC27" s="7"/>
      <c r="AD27" s="10"/>
      <c r="AE27" s="10"/>
      <c r="AF27" s="10"/>
      <c r="AG27" s="7"/>
      <c r="AH27" s="10"/>
      <c r="AI27" s="7"/>
      <c r="AJ27" s="7"/>
      <c r="AK27" s="7"/>
      <c r="AL27" s="7"/>
      <c r="AM27" s="7"/>
      <c r="AN27" s="7"/>
    </row>
    <row r="28" spans="1:40" x14ac:dyDescent="0.25">
      <c r="A28" s="66"/>
      <c r="B28" s="7"/>
      <c r="C28" s="84"/>
      <c r="D28" s="84"/>
      <c r="E28" s="84"/>
      <c r="F28" s="84"/>
      <c r="G28" s="84"/>
      <c r="H28" s="84"/>
      <c r="I28" s="84"/>
      <c r="J28" s="84"/>
      <c r="K28" s="7"/>
      <c r="L28" s="7"/>
      <c r="O28" t="s">
        <v>54</v>
      </c>
      <c r="Q28" s="67">
        <v>44862424.737676203</v>
      </c>
      <c r="R28" s="67">
        <v>11215606.184419099</v>
      </c>
      <c r="W28" s="7"/>
      <c r="X28" s="7"/>
      <c r="Y28" s="7"/>
      <c r="Z28" s="11"/>
      <c r="AA28" s="7"/>
      <c r="AB28" s="7"/>
      <c r="AC28" s="7"/>
      <c r="AD28" s="10"/>
      <c r="AE28" s="10"/>
      <c r="AF28" s="10"/>
      <c r="AG28" s="7"/>
      <c r="AH28" s="7"/>
      <c r="AI28" s="7"/>
      <c r="AJ28" s="7"/>
      <c r="AK28" s="7"/>
      <c r="AL28" s="7"/>
      <c r="AM28" s="7"/>
      <c r="AN28" s="7"/>
    </row>
    <row r="29" spans="1:40" x14ac:dyDescent="0.25">
      <c r="A29" s="66"/>
      <c r="B29" s="7"/>
      <c r="C29" s="84"/>
      <c r="D29" s="84"/>
      <c r="E29" s="84"/>
      <c r="F29" s="85"/>
      <c r="G29" s="84"/>
      <c r="H29" s="84"/>
      <c r="I29" s="84"/>
      <c r="J29" s="84"/>
      <c r="K29" s="7"/>
      <c r="L29" s="7"/>
      <c r="Q29" s="67">
        <v>505186809.29000002</v>
      </c>
      <c r="R29" s="67">
        <v>92425238.600514904</v>
      </c>
      <c r="W29" s="7"/>
      <c r="X29" s="7"/>
      <c r="Y29" s="7"/>
      <c r="Z29" s="7"/>
      <c r="AA29" s="7"/>
      <c r="AB29" s="7"/>
      <c r="AC29" s="7"/>
      <c r="AD29" s="10"/>
      <c r="AE29" s="10"/>
      <c r="AF29" s="10"/>
      <c r="AG29" s="7"/>
      <c r="AH29" s="7"/>
      <c r="AI29" s="7"/>
      <c r="AJ29" s="7"/>
      <c r="AK29" s="7"/>
      <c r="AL29" s="7"/>
      <c r="AM29" s="7"/>
      <c r="AN29" s="7"/>
    </row>
    <row r="30" spans="1:40" x14ac:dyDescent="0.25">
      <c r="A30" s="66"/>
      <c r="C30" s="501"/>
      <c r="D30" s="84"/>
      <c r="E30" s="84"/>
      <c r="F30" s="86"/>
      <c r="G30" s="86"/>
      <c r="H30" s="87"/>
      <c r="I30" s="87"/>
      <c r="J30" s="88"/>
      <c r="K30" s="89"/>
      <c r="L30" s="90">
        <v>2005432400.88219</v>
      </c>
      <c r="M30" s="90">
        <v>353899835.44979799</v>
      </c>
      <c r="N30" s="91">
        <f>(L30+M30)</f>
        <v>2359332236.3319879</v>
      </c>
      <c r="O30" s="92">
        <f>(L30/N30)</f>
        <v>0.85000000000000009</v>
      </c>
      <c r="P30" s="93"/>
      <c r="S30" s="93"/>
      <c r="T30" s="502"/>
      <c r="U30" s="502"/>
      <c r="V30" s="93"/>
      <c r="W30" s="502"/>
      <c r="X30" s="502"/>
      <c r="Y30" s="93"/>
      <c r="Z30" s="93"/>
      <c r="AA30" s="93"/>
      <c r="AB30" s="7"/>
      <c r="AC30" s="7"/>
      <c r="AD30" s="10"/>
      <c r="AE30" s="10"/>
      <c r="AF30" s="10"/>
      <c r="AG30" s="7"/>
      <c r="AH30" s="7"/>
      <c r="AI30" s="7"/>
      <c r="AJ30" s="7"/>
      <c r="AK30" s="7"/>
      <c r="AL30" s="7"/>
      <c r="AM30" s="7"/>
      <c r="AN30" s="7"/>
    </row>
    <row r="31" spans="1:40" x14ac:dyDescent="0.25">
      <c r="A31" s="66"/>
      <c r="C31" s="501"/>
      <c r="D31" s="84"/>
      <c r="E31" s="84"/>
      <c r="F31" s="86"/>
      <c r="G31" s="86"/>
      <c r="H31" s="87"/>
      <c r="I31" s="87"/>
      <c r="J31" s="88"/>
      <c r="K31" s="89" t="s">
        <v>55</v>
      </c>
      <c r="L31" s="75">
        <v>195446001.11781201</v>
      </c>
      <c r="M31" s="75">
        <v>48861500.279452898</v>
      </c>
      <c r="N31" s="91">
        <f>(L31+M31)</f>
        <v>244307501.3972649</v>
      </c>
      <c r="O31" s="92">
        <f>(L31/N31)</f>
        <v>0.80000000000000038</v>
      </c>
      <c r="P31" s="94"/>
      <c r="Q31" s="94">
        <f t="shared" ref="Q31:R33" si="7">(Q23-Q27)</f>
        <v>10949538.36767602</v>
      </c>
      <c r="R31" s="94">
        <f t="shared" si="7"/>
        <v>1928825.6424271017</v>
      </c>
      <c r="S31" s="94"/>
      <c r="T31" s="44"/>
      <c r="U31" s="44"/>
      <c r="V31" s="44"/>
      <c r="W31" s="83"/>
      <c r="X31" s="83"/>
      <c r="Y31" s="83"/>
      <c r="Z31" s="83"/>
      <c r="AA31" s="83"/>
      <c r="AB31" s="7"/>
      <c r="AC31" s="7"/>
      <c r="AD31" s="10"/>
      <c r="AE31" s="10"/>
      <c r="AF31" s="10"/>
      <c r="AG31" s="7"/>
      <c r="AH31" s="7"/>
      <c r="AI31" s="7"/>
      <c r="AJ31" s="7"/>
      <c r="AK31" s="7"/>
      <c r="AL31" s="7"/>
      <c r="AM31" s="7"/>
      <c r="AN31" s="7"/>
    </row>
    <row r="32" spans="1:40" x14ac:dyDescent="0.25">
      <c r="A32" s="66"/>
      <c r="C32" s="84"/>
      <c r="D32" s="84"/>
      <c r="E32" s="84"/>
      <c r="F32" s="87"/>
      <c r="G32" s="95"/>
      <c r="H32" s="87"/>
      <c r="I32" s="87"/>
      <c r="J32" s="88"/>
      <c r="K32" s="89"/>
      <c r="L32" s="503"/>
      <c r="M32" s="504"/>
      <c r="N32" s="94"/>
      <c r="O32" s="94" t="s">
        <v>56</v>
      </c>
      <c r="Q32" s="94">
        <f t="shared" si="7"/>
        <v>699393.18232379854</v>
      </c>
      <c r="R32" s="94">
        <f t="shared" si="7"/>
        <v>174376.45043330081</v>
      </c>
      <c r="S32" s="94"/>
      <c r="T32" s="44"/>
      <c r="U32" s="44"/>
      <c r="V32" s="44"/>
      <c r="W32" s="75"/>
      <c r="X32" s="75"/>
      <c r="Y32" s="75"/>
      <c r="Z32" s="75"/>
      <c r="AA32" s="83"/>
      <c r="AB32" s="7"/>
      <c r="AC32" s="7"/>
      <c r="AD32" s="10"/>
      <c r="AE32" s="10"/>
      <c r="AF32" s="10"/>
      <c r="AG32" s="10"/>
      <c r="AH32" s="87"/>
      <c r="AI32" s="87"/>
      <c r="AJ32" s="87"/>
      <c r="AK32" s="7"/>
      <c r="AL32" s="7"/>
      <c r="AM32" s="7"/>
      <c r="AN32" s="7"/>
    </row>
    <row r="33" spans="1:40" x14ac:dyDescent="0.25">
      <c r="A33" s="66"/>
      <c r="C33" s="501"/>
      <c r="D33" s="84"/>
      <c r="E33" s="84"/>
      <c r="F33" s="86"/>
      <c r="G33" s="96"/>
      <c r="H33" s="87"/>
      <c r="I33" s="87"/>
      <c r="J33" s="506"/>
      <c r="K33" s="89"/>
      <c r="L33" s="503"/>
      <c r="M33" s="504"/>
      <c r="N33" s="94"/>
      <c r="O33" s="94"/>
      <c r="P33" s="94"/>
      <c r="Q33" s="94">
        <f t="shared" si="7"/>
        <v>11648931.549999952</v>
      </c>
      <c r="R33" s="94">
        <f t="shared" si="7"/>
        <v>2127284.5995550007</v>
      </c>
      <c r="S33" s="94"/>
      <c r="T33" s="44"/>
      <c r="U33" s="44"/>
      <c r="V33" s="44"/>
      <c r="W33" s="83"/>
      <c r="X33" s="83"/>
      <c r="Y33" s="83"/>
      <c r="Z33" s="83"/>
      <c r="AA33" s="83"/>
      <c r="AB33" s="7"/>
      <c r="AC33" s="7"/>
      <c r="AD33" s="7"/>
      <c r="AE33" s="7"/>
      <c r="AF33" s="7"/>
      <c r="AG33" s="7"/>
      <c r="AH33" s="87"/>
      <c r="AI33" s="84"/>
      <c r="AJ33" s="87"/>
      <c r="AK33" s="7"/>
      <c r="AL33" s="7"/>
      <c r="AM33" s="7"/>
      <c r="AN33" s="7"/>
    </row>
    <row r="34" spans="1:40" x14ac:dyDescent="0.25">
      <c r="C34" s="505"/>
      <c r="J34" s="505"/>
    </row>
    <row r="35" spans="1:40" x14ac:dyDescent="0.25">
      <c r="C35" s="505"/>
    </row>
  </sheetData>
  <mergeCells count="79">
    <mergeCell ref="A1:A2"/>
    <mergeCell ref="B1:B2"/>
    <mergeCell ref="C1:C2"/>
    <mergeCell ref="D1:D2"/>
    <mergeCell ref="E1:E2"/>
    <mergeCell ref="F1:F2"/>
    <mergeCell ref="G1:G2"/>
    <mergeCell ref="H1:H2"/>
    <mergeCell ref="I1:J1"/>
    <mergeCell ref="K1:K2"/>
    <mergeCell ref="L1:L2"/>
    <mergeCell ref="M1:M2"/>
    <mergeCell ref="O1:P1"/>
    <mergeCell ref="Q1:R1"/>
    <mergeCell ref="S1:S2"/>
    <mergeCell ref="A3:A4"/>
    <mergeCell ref="E3:E4"/>
    <mergeCell ref="G3:G4"/>
    <mergeCell ref="K3:K4"/>
    <mergeCell ref="T3:T4"/>
    <mergeCell ref="A5:A6"/>
    <mergeCell ref="E5:E6"/>
    <mergeCell ref="G5:G6"/>
    <mergeCell ref="K5:K6"/>
    <mergeCell ref="T5:T6"/>
    <mergeCell ref="A7:A8"/>
    <mergeCell ref="E7:E8"/>
    <mergeCell ref="G7:G8"/>
    <mergeCell ref="K7:K8"/>
    <mergeCell ref="T7:T8"/>
    <mergeCell ref="A9:A10"/>
    <mergeCell ref="E9:E10"/>
    <mergeCell ref="G9:G10"/>
    <mergeCell ref="K9:K10"/>
    <mergeCell ref="T9:T10"/>
    <mergeCell ref="AD9:AD10"/>
    <mergeCell ref="AE9:AE10"/>
    <mergeCell ref="X10:X11"/>
    <mergeCell ref="Y10:Y11"/>
    <mergeCell ref="Z10:Z11"/>
    <mergeCell ref="AD11:AD15"/>
    <mergeCell ref="AE11:AE15"/>
    <mergeCell ref="X12:X15"/>
    <mergeCell ref="Y12:Y15"/>
    <mergeCell ref="Z12:Z16"/>
    <mergeCell ref="X8:X9"/>
    <mergeCell ref="Y8:Y9"/>
    <mergeCell ref="Z8:Z9"/>
    <mergeCell ref="AA8:AA9"/>
    <mergeCell ref="AB8:AB9"/>
    <mergeCell ref="AF12:AF15"/>
    <mergeCell ref="AH12:AH15"/>
    <mergeCell ref="A13:A14"/>
    <mergeCell ref="X16:X17"/>
    <mergeCell ref="Y16:Y17"/>
    <mergeCell ref="Z17:Z18"/>
    <mergeCell ref="AF17:AG17"/>
    <mergeCell ref="B18:B19"/>
    <mergeCell ref="X18:X19"/>
    <mergeCell ref="Y18:Y19"/>
    <mergeCell ref="AF18:AG18"/>
    <mergeCell ref="A11:A12"/>
    <mergeCell ref="E11:E12"/>
    <mergeCell ref="G11:G12"/>
    <mergeCell ref="K11:K12"/>
    <mergeCell ref="T11:T12"/>
    <mergeCell ref="B20:B22"/>
    <mergeCell ref="C20:C21"/>
    <mergeCell ref="Y22:Y23"/>
    <mergeCell ref="Z22:Z23"/>
    <mergeCell ref="Y24:Y26"/>
    <mergeCell ref="Z24:Z26"/>
    <mergeCell ref="C30:C31"/>
    <mergeCell ref="T30:U30"/>
    <mergeCell ref="W30:X30"/>
    <mergeCell ref="L32:L33"/>
    <mergeCell ref="M32:M33"/>
    <mergeCell ref="C33:C35"/>
    <mergeCell ref="J33:J34"/>
  </mergeCells>
  <pageMargins left="0.31527777777777799" right="0.31527777777777799" top="0.15763888888888899" bottom="0.15763888888888899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activeCell="H7" sqref="H7"/>
    </sheetView>
  </sheetViews>
  <sheetFormatPr defaultRowHeight="15" x14ac:dyDescent="0.25"/>
  <cols>
    <col min="1" max="1" width="12.28515625"/>
    <col min="2" max="2" width="23.85546875"/>
    <col min="4" max="4" width="16.28515625" style="321"/>
    <col min="5" max="5" width="20.42578125"/>
    <col min="6" max="7" width="19.5703125" style="321"/>
    <col min="8" max="8" width="23.5703125"/>
    <col min="10" max="10" width="18.7109375" style="321"/>
    <col min="11" max="11" width="19.5703125"/>
    <col min="12" max="12" width="19.140625" style="321"/>
    <col min="13" max="13" width="21.85546875" style="321"/>
    <col min="14" max="14" width="24.28515625"/>
  </cols>
  <sheetData>
    <row r="1" spans="1:14" ht="46.5" customHeight="1" x14ac:dyDescent="0.25">
      <c r="A1" s="322">
        <v>874984359</v>
      </c>
      <c r="B1" s="594" t="s">
        <v>297</v>
      </c>
      <c r="D1" s="324" t="s">
        <v>279</v>
      </c>
      <c r="E1" s="602" t="s">
        <v>280</v>
      </c>
      <c r="F1" s="603" t="s">
        <v>298</v>
      </c>
      <c r="G1" s="599" t="s">
        <v>299</v>
      </c>
      <c r="H1" s="604" t="s">
        <v>283</v>
      </c>
      <c r="J1" s="323" t="s">
        <v>284</v>
      </c>
      <c r="K1" s="600" t="s">
        <v>280</v>
      </c>
      <c r="L1" s="599" t="s">
        <v>298</v>
      </c>
      <c r="M1" s="599" t="s">
        <v>299</v>
      </c>
      <c r="N1" s="601" t="s">
        <v>285</v>
      </c>
    </row>
    <row r="2" spans="1:14" x14ac:dyDescent="0.25">
      <c r="A2" s="325"/>
      <c r="B2" s="594"/>
      <c r="D2" s="379">
        <v>0.4</v>
      </c>
      <c r="E2" s="602"/>
      <c r="F2" s="603"/>
      <c r="G2" s="599"/>
      <c r="H2" s="604"/>
      <c r="J2" s="379">
        <v>0.6</v>
      </c>
      <c r="K2" s="600"/>
      <c r="L2" s="599"/>
      <c r="M2" s="599"/>
      <c r="N2" s="601"/>
    </row>
    <row r="3" spans="1:14" ht="57.75" customHeight="1" x14ac:dyDescent="0.25">
      <c r="A3" s="325"/>
      <c r="B3" s="594"/>
      <c r="D3" s="353">
        <f>A1*D2</f>
        <v>349993743.60000002</v>
      </c>
      <c r="E3" s="602"/>
      <c r="F3" s="603"/>
      <c r="G3" s="599"/>
      <c r="H3" s="604"/>
      <c r="J3" s="355">
        <f>A1*J2</f>
        <v>524990615.39999998</v>
      </c>
      <c r="K3" s="600"/>
      <c r="L3" s="599"/>
      <c r="M3" s="599"/>
      <c r="N3" s="601"/>
    </row>
    <row r="4" spans="1:14" x14ac:dyDescent="0.25">
      <c r="A4" s="380" t="s">
        <v>286</v>
      </c>
      <c r="B4" s="381">
        <v>0.2</v>
      </c>
      <c r="D4" s="382">
        <f>$D$3*B4</f>
        <v>69998748.720000014</v>
      </c>
      <c r="E4" s="383">
        <v>0.4</v>
      </c>
      <c r="F4" s="384">
        <f>D4/E4-D4</f>
        <v>104998123.08</v>
      </c>
      <c r="G4" s="332">
        <f>D4+F4</f>
        <v>174996871.80000001</v>
      </c>
      <c r="H4" s="604"/>
      <c r="J4" s="330">
        <f>B4*$J$3</f>
        <v>104998123.08</v>
      </c>
      <c r="K4" s="333">
        <v>0.65</v>
      </c>
      <c r="L4" s="332">
        <f>J4/K4-J4</f>
        <v>56537450.889230773</v>
      </c>
      <c r="M4" s="332">
        <f>J4+L4</f>
        <v>161535573.96923077</v>
      </c>
      <c r="N4" s="601"/>
    </row>
    <row r="5" spans="1:14" x14ac:dyDescent="0.25">
      <c r="A5" s="385" t="s">
        <v>287</v>
      </c>
      <c r="B5" s="386">
        <v>0.16</v>
      </c>
      <c r="D5" s="337">
        <f>$D$3*B5</f>
        <v>55998998.976000004</v>
      </c>
      <c r="E5" s="387">
        <v>0.5</v>
      </c>
      <c r="F5" s="388">
        <f>D5/E5-D5</f>
        <v>55998998.976000004</v>
      </c>
      <c r="G5" s="339">
        <f>D5+F5</f>
        <v>111997997.95200001</v>
      </c>
      <c r="H5" s="604"/>
      <c r="J5" s="337">
        <f>B5*$J$3</f>
        <v>83998498.464000002</v>
      </c>
      <c r="K5" s="340">
        <v>0.75</v>
      </c>
      <c r="L5" s="339">
        <f>J5/K5-J5</f>
        <v>27999499.488000005</v>
      </c>
      <c r="M5" s="339">
        <f>J5+L5</f>
        <v>111997997.95200001</v>
      </c>
      <c r="N5" s="601"/>
    </row>
    <row r="6" spans="1:14" x14ac:dyDescent="0.25">
      <c r="A6" s="389" t="s">
        <v>288</v>
      </c>
      <c r="B6" s="390">
        <v>0.64</v>
      </c>
      <c r="D6" s="344">
        <f>$D$3*B6</f>
        <v>223995995.90400001</v>
      </c>
      <c r="E6" s="391">
        <v>0.6</v>
      </c>
      <c r="F6" s="392">
        <f>D6/E6-D6</f>
        <v>149330663.93600002</v>
      </c>
      <c r="G6" s="346">
        <f>D6+F6</f>
        <v>373326659.84000003</v>
      </c>
      <c r="H6" s="604"/>
      <c r="J6" s="347">
        <f>B6*$J$3</f>
        <v>335993993.85600001</v>
      </c>
      <c r="K6" s="348">
        <v>0.8</v>
      </c>
      <c r="L6" s="349">
        <f>J6/K6-J6</f>
        <v>83998498.463999987</v>
      </c>
      <c r="M6" s="349">
        <f>J6+L6</f>
        <v>419992492.31999999</v>
      </c>
      <c r="N6" s="601"/>
    </row>
    <row r="7" spans="1:14" x14ac:dyDescent="0.25">
      <c r="D7" s="351">
        <f>SUM(D4:D6)</f>
        <v>349993743.60000002</v>
      </c>
      <c r="E7" s="352"/>
      <c r="F7" s="393">
        <f>SUM(F4:F6)</f>
        <v>310327785.99199998</v>
      </c>
      <c r="G7" s="353">
        <f>SUM(G4:G6)</f>
        <v>660321529.59200001</v>
      </c>
      <c r="H7" s="354">
        <f>D7/G7</f>
        <v>0.53003533568904593</v>
      </c>
      <c r="J7" s="355">
        <f>SUM(J4:J6)</f>
        <v>524990615.39999998</v>
      </c>
      <c r="K7" s="356"/>
      <c r="L7" s="357">
        <f>SUM(L4:L6)</f>
        <v>168535448.84123075</v>
      </c>
      <c r="M7" s="357">
        <f>SUM(M4:M6)</f>
        <v>693526064.24123073</v>
      </c>
      <c r="N7" s="394">
        <f>J7/M7</f>
        <v>0.75698757763975155</v>
      </c>
    </row>
    <row r="8" spans="1:14" x14ac:dyDescent="0.25">
      <c r="D8"/>
      <c r="F8"/>
      <c r="G8"/>
    </row>
    <row r="9" spans="1:14" ht="75" x14ac:dyDescent="0.25">
      <c r="D9" s="370" t="s">
        <v>289</v>
      </c>
      <c r="E9" s="360"/>
      <c r="F9" s="370" t="s">
        <v>290</v>
      </c>
      <c r="G9" s="370" t="s">
        <v>291</v>
      </c>
      <c r="H9" s="369" t="s">
        <v>292</v>
      </c>
    </row>
    <row r="10" spans="1:14" x14ac:dyDescent="0.25">
      <c r="D10" s="357">
        <f>D7+J7</f>
        <v>874984359</v>
      </c>
      <c r="E10" s="360"/>
      <c r="F10" s="357">
        <f>F7+L7</f>
        <v>478863234.83323073</v>
      </c>
      <c r="G10" s="357">
        <f>G7+M7</f>
        <v>1353847593.8332307</v>
      </c>
      <c r="H10" s="395">
        <f>D10/G10</f>
        <v>0.64629457775420918</v>
      </c>
    </row>
    <row r="11" spans="1:14" x14ac:dyDescent="0.25">
      <c r="D11"/>
      <c r="F11"/>
      <c r="G11"/>
    </row>
    <row r="12" spans="1:14" x14ac:dyDescent="0.25">
      <c r="D12"/>
      <c r="F12"/>
      <c r="G12"/>
    </row>
    <row r="13" spans="1:14" ht="45" customHeight="1" x14ac:dyDescent="0.25">
      <c r="A13" s="593" t="s">
        <v>293</v>
      </c>
      <c r="B13" s="593"/>
      <c r="C13" s="593"/>
      <c r="D13" s="593"/>
      <c r="E13" s="593"/>
      <c r="F13" s="593"/>
      <c r="G13" s="593"/>
      <c r="H13" s="593"/>
    </row>
  </sheetData>
  <mergeCells count="10">
    <mergeCell ref="K1:K3"/>
    <mergeCell ref="L1:L3"/>
    <mergeCell ref="M1:M3"/>
    <mergeCell ref="N1:N6"/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7"/>
  <sheetViews>
    <sheetView zoomScale="90" zoomScaleNormal="90" workbookViewId="0">
      <selection activeCell="P13" sqref="P13"/>
    </sheetView>
  </sheetViews>
  <sheetFormatPr defaultRowHeight="15" x14ac:dyDescent="0.25"/>
  <cols>
    <col min="1" max="1" width="10"/>
    <col min="2" max="2" width="16.5703125"/>
    <col min="3" max="3" width="16.7109375"/>
    <col min="4" max="4" width="16.28515625"/>
    <col min="5" max="5" width="17.28515625"/>
    <col min="6" max="6" width="16.140625"/>
    <col min="7" max="7" width="16.85546875"/>
    <col min="8" max="8" width="15.7109375"/>
    <col min="9" max="9" width="17.140625"/>
    <col min="10" max="10" width="16.7109375"/>
    <col min="11" max="11" width="18.140625"/>
    <col min="12" max="12" width="16.42578125"/>
    <col min="13" max="13" width="17.28515625"/>
    <col min="14" max="14" width="17.5703125"/>
    <col min="15" max="15" width="17.85546875"/>
    <col min="16" max="16" width="18.42578125"/>
    <col min="17" max="17" width="19.5703125"/>
    <col min="18" max="18" width="14.7109375"/>
    <col min="19" max="19" width="19.5703125"/>
    <col min="20" max="20" width="14"/>
    <col min="21" max="21" width="14.5703125"/>
    <col min="22" max="22" width="15.28515625"/>
    <col min="23" max="23" width="8.85546875"/>
    <col min="24" max="24" width="14"/>
    <col min="25" max="25" width="13.28515625"/>
    <col min="26" max="26" width="12.42578125"/>
    <col min="27" max="27" width="8.140625"/>
    <col min="28" max="1025" width="8.7109375"/>
  </cols>
  <sheetData>
    <row r="1" spans="1:28" ht="15" customHeight="1" x14ac:dyDescent="0.25">
      <c r="A1" s="525" t="s">
        <v>2</v>
      </c>
      <c r="B1" s="523">
        <v>2014</v>
      </c>
      <c r="C1" s="523"/>
      <c r="D1" s="523">
        <v>2015</v>
      </c>
      <c r="E1" s="523"/>
      <c r="F1" s="523">
        <v>2016</v>
      </c>
      <c r="G1" s="523"/>
      <c r="H1" s="523">
        <v>2017</v>
      </c>
      <c r="I1" s="523"/>
      <c r="J1" s="523">
        <v>2018</v>
      </c>
      <c r="K1" s="523"/>
      <c r="L1" s="523">
        <v>2019</v>
      </c>
      <c r="M1" s="523"/>
      <c r="N1" s="523">
        <v>2020</v>
      </c>
      <c r="O1" s="523"/>
      <c r="P1" s="523" t="s">
        <v>41</v>
      </c>
      <c r="Q1" s="523"/>
    </row>
    <row r="2" spans="1:28" ht="24" x14ac:dyDescent="0.25">
      <c r="A2" s="525"/>
      <c r="B2" s="97" t="s">
        <v>57</v>
      </c>
      <c r="C2" s="97" t="s">
        <v>14</v>
      </c>
      <c r="D2" s="97" t="s">
        <v>57</v>
      </c>
      <c r="E2" s="97" t="s">
        <v>14</v>
      </c>
      <c r="F2" s="97" t="s">
        <v>57</v>
      </c>
      <c r="G2" s="97" t="s">
        <v>14</v>
      </c>
      <c r="H2" s="97" t="s">
        <v>57</v>
      </c>
      <c r="I2" s="97" t="s">
        <v>14</v>
      </c>
      <c r="J2" s="97" t="s">
        <v>57</v>
      </c>
      <c r="K2" s="97" t="s">
        <v>14</v>
      </c>
      <c r="L2" s="97" t="s">
        <v>57</v>
      </c>
      <c r="M2" s="97" t="s">
        <v>14</v>
      </c>
      <c r="N2" s="97" t="s">
        <v>57</v>
      </c>
      <c r="O2" s="97" t="s">
        <v>14</v>
      </c>
      <c r="P2" s="97" t="s">
        <v>57</v>
      </c>
      <c r="Q2" s="97" t="s">
        <v>14</v>
      </c>
    </row>
    <row r="3" spans="1:28" ht="36" x14ac:dyDescent="0.25">
      <c r="A3" s="97" t="s">
        <v>58</v>
      </c>
      <c r="B3" s="98">
        <f>(B8*0.94)</f>
        <v>898725370.79999995</v>
      </c>
      <c r="C3" s="98">
        <f>(B8*0.06)</f>
        <v>57365449.199999996</v>
      </c>
      <c r="D3" s="98">
        <f>(C8*0.94)</f>
        <v>951239174.8599999</v>
      </c>
      <c r="E3" s="98">
        <f>(C8*0.06)</f>
        <v>60717394.140000001</v>
      </c>
      <c r="F3" s="98">
        <f>(D8*0.94)</f>
        <v>1006385518.4799999</v>
      </c>
      <c r="G3" s="98">
        <f>(D8*0.06)</f>
        <v>64237373.519999996</v>
      </c>
      <c r="H3" s="98">
        <f>(E8*0.94)</f>
        <v>1056522885.9799999</v>
      </c>
      <c r="I3" s="98">
        <f>(E8*0.06)</f>
        <v>67437631.019999996</v>
      </c>
      <c r="J3" s="98">
        <f>(F8*0.94)</f>
        <v>1106786069.6599998</v>
      </c>
      <c r="K3" s="98">
        <f>(F8*0.06)</f>
        <v>70645919.340000004</v>
      </c>
      <c r="L3" s="98">
        <f>(G8*0.94)</f>
        <v>1156859070.6599998</v>
      </c>
      <c r="M3" s="98">
        <f>(G8*0.06)</f>
        <v>73842068.340000004</v>
      </c>
      <c r="N3" s="98">
        <f>(H8*0.94)</f>
        <v>1206773368.6399999</v>
      </c>
      <c r="O3" s="98">
        <f>(H8*0.06)</f>
        <v>77028087.359999999</v>
      </c>
      <c r="P3" s="98">
        <v>7383291460</v>
      </c>
      <c r="Q3" s="99">
        <v>471273922</v>
      </c>
      <c r="R3" s="66"/>
      <c r="S3" s="66"/>
    </row>
    <row r="4" spans="1:28" ht="36" x14ac:dyDescent="0.25">
      <c r="A4" s="97" t="s">
        <v>59</v>
      </c>
      <c r="B4" s="98">
        <f>(B9*0.94)</f>
        <v>95923421.420000002</v>
      </c>
      <c r="C4" s="98">
        <f>(B9*0.06)</f>
        <v>6122771.5800000001</v>
      </c>
      <c r="D4" s="98">
        <f>(C9*0.94)</f>
        <v>97896588.579999998</v>
      </c>
      <c r="E4" s="98">
        <f>(C9*0.06)</f>
        <v>6248718.4199999999</v>
      </c>
      <c r="F4" s="98">
        <f>(D9*0.94)</f>
        <v>99882191.939999998</v>
      </c>
      <c r="G4" s="98">
        <f>(D9*0.06)</f>
        <v>6375459.0599999996</v>
      </c>
      <c r="H4" s="98">
        <f>(E9*0.94)</f>
        <v>101871359.78</v>
      </c>
      <c r="I4" s="98">
        <f>(E9*0.06)</f>
        <v>6502427.2199999997</v>
      </c>
      <c r="J4" s="98">
        <f>(F9*0.94)</f>
        <v>103981194.47999999</v>
      </c>
      <c r="K4" s="98">
        <f>(F9*0.06)</f>
        <v>6637097.5199999996</v>
      </c>
      <c r="L4" s="98">
        <f>(G9*0.94)</f>
        <v>106052780.58</v>
      </c>
      <c r="M4" s="98">
        <f>(G9*0.06)</f>
        <v>6769326.4199999999</v>
      </c>
      <c r="N4" s="98">
        <f>(H9*0.94)</f>
        <v>108194277.3</v>
      </c>
      <c r="O4" s="98">
        <f>(H9*0.06)</f>
        <v>6906017.7000000002</v>
      </c>
      <c r="P4" s="98">
        <f>(I9*0.94)</f>
        <v>713801814.07999992</v>
      </c>
      <c r="Q4" s="98">
        <f>(I9*0.06)</f>
        <v>45561817.920000002</v>
      </c>
      <c r="R4" s="66"/>
      <c r="S4" s="66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45" customHeight="1" x14ac:dyDescent="0.25">
      <c r="A5" s="97" t="s">
        <v>60</v>
      </c>
      <c r="B5" s="101">
        <f>SUM(B3:B4)</f>
        <v>994648792.21999991</v>
      </c>
      <c r="C5" s="101">
        <f>SUM(C3:C4)</f>
        <v>63488220.779999994</v>
      </c>
      <c r="D5" s="101">
        <v>1049135764</v>
      </c>
      <c r="E5" s="101">
        <v>66966112</v>
      </c>
      <c r="F5" s="101">
        <f t="shared" ref="F5:K5" si="0">SUM(F3:F4)</f>
        <v>1106267710.4199998</v>
      </c>
      <c r="G5" s="101">
        <f t="shared" si="0"/>
        <v>70612832.579999998</v>
      </c>
      <c r="H5" s="101">
        <f t="shared" si="0"/>
        <v>1158394245.76</v>
      </c>
      <c r="I5" s="101">
        <f t="shared" si="0"/>
        <v>73940058.239999995</v>
      </c>
      <c r="J5" s="101">
        <f t="shared" si="0"/>
        <v>1210767264.1399999</v>
      </c>
      <c r="K5" s="101">
        <f t="shared" si="0"/>
        <v>77283016.859999999</v>
      </c>
      <c r="L5" s="102">
        <v>1262911852</v>
      </c>
      <c r="M5" s="102">
        <v>80611394</v>
      </c>
      <c r="N5" s="101">
        <f>SUM(N3:N4)</f>
        <v>1314967645.9399998</v>
      </c>
      <c r="O5" s="101">
        <f>SUM(O3:O4)</f>
        <v>83934105.060000002</v>
      </c>
      <c r="P5" s="103">
        <f>SUM(P3:P4)</f>
        <v>8097093274.0799999</v>
      </c>
      <c r="Q5" s="103">
        <f>SUM(Q3:Q4)</f>
        <v>516835739.92000002</v>
      </c>
      <c r="R5" s="66"/>
      <c r="S5" s="66"/>
      <c r="T5" s="67"/>
      <c r="U5" s="67"/>
      <c r="V5" s="67"/>
      <c r="W5" s="67"/>
      <c r="X5" s="67"/>
      <c r="Y5" s="67"/>
      <c r="Z5" s="67"/>
    </row>
    <row r="6" spans="1:28" ht="35.25" customHeight="1" x14ac:dyDescent="0.25">
      <c r="A6" s="104" t="s">
        <v>61</v>
      </c>
      <c r="B6" s="524">
        <f>SUM(B5:C5)</f>
        <v>1058137012.9999999</v>
      </c>
      <c r="C6" s="524"/>
      <c r="D6" s="524">
        <f>SUM(D5:E5)</f>
        <v>1116101876</v>
      </c>
      <c r="E6" s="524"/>
      <c r="F6" s="524">
        <f>SUM(F5:G5)</f>
        <v>1176880542.9999998</v>
      </c>
      <c r="G6" s="524"/>
      <c r="H6" s="524">
        <f>SUM(H5:I5)</f>
        <v>1232334304</v>
      </c>
      <c r="I6" s="524"/>
      <c r="J6" s="524">
        <f>SUM(J5:K5)</f>
        <v>1288050280.9999998</v>
      </c>
      <c r="K6" s="524"/>
      <c r="L6" s="524">
        <f>SUM(L5:M5)</f>
        <v>1343523246</v>
      </c>
      <c r="M6" s="524"/>
      <c r="N6" s="524">
        <f>SUM(N5:O5)</f>
        <v>1398901750.9999998</v>
      </c>
      <c r="O6" s="524"/>
      <c r="P6" s="524">
        <f>SUM(P5:Q5)</f>
        <v>8613929014</v>
      </c>
      <c r="Q6" s="524"/>
    </row>
    <row r="7" spans="1:28" ht="20.25" customHeight="1" x14ac:dyDescent="0.25">
      <c r="A7" s="93"/>
      <c r="B7" s="91">
        <v>2014</v>
      </c>
      <c r="C7" s="91">
        <v>2015</v>
      </c>
      <c r="D7" s="91">
        <v>2016</v>
      </c>
      <c r="E7" s="91">
        <v>2017</v>
      </c>
      <c r="F7" s="91">
        <v>2018</v>
      </c>
      <c r="G7" s="91">
        <v>2019</v>
      </c>
      <c r="H7" s="91">
        <v>2020</v>
      </c>
      <c r="I7" s="91"/>
      <c r="J7" s="105"/>
      <c r="K7" s="105"/>
      <c r="L7" s="105"/>
      <c r="M7" s="105"/>
      <c r="N7" s="105"/>
      <c r="O7" s="105"/>
      <c r="P7" s="106"/>
      <c r="Q7" s="106"/>
    </row>
    <row r="8" spans="1:28" ht="15" customHeight="1" x14ac:dyDescent="0.25">
      <c r="A8" s="93" t="s">
        <v>62</v>
      </c>
      <c r="B8" s="107">
        <v>956090820</v>
      </c>
      <c r="C8" s="107">
        <v>1011956569</v>
      </c>
      <c r="D8" s="107">
        <v>1070622892</v>
      </c>
      <c r="E8" s="107">
        <v>1123960517</v>
      </c>
      <c r="F8" s="107">
        <v>1177431989</v>
      </c>
      <c r="G8" s="107">
        <v>1230701139</v>
      </c>
      <c r="H8" s="107">
        <v>1283801456</v>
      </c>
      <c r="I8" s="107">
        <v>7854565382</v>
      </c>
      <c r="K8" s="105"/>
      <c r="L8" s="105"/>
      <c r="M8" s="105"/>
      <c r="N8" s="105"/>
      <c r="O8" s="105"/>
      <c r="P8" s="106">
        <v>7383291459.0799999</v>
      </c>
      <c r="Q8" s="106">
        <v>471273922.92000002</v>
      </c>
    </row>
    <row r="9" spans="1:28" ht="14.25" customHeight="1" x14ac:dyDescent="0.25">
      <c r="A9" s="93" t="s">
        <v>63</v>
      </c>
      <c r="B9" s="107">
        <v>102046193</v>
      </c>
      <c r="C9" s="107">
        <v>104145307</v>
      </c>
      <c r="D9" s="107">
        <v>106257651</v>
      </c>
      <c r="E9" s="107">
        <v>108373787</v>
      </c>
      <c r="F9" s="107">
        <v>110618292</v>
      </c>
      <c r="G9" s="107">
        <v>112822107</v>
      </c>
      <c r="H9" s="107">
        <v>115100295</v>
      </c>
      <c r="I9" s="107">
        <v>759363632</v>
      </c>
      <c r="K9" s="105"/>
      <c r="L9" s="105"/>
      <c r="M9" s="105"/>
      <c r="N9" s="105"/>
      <c r="O9" s="105"/>
      <c r="P9" s="106"/>
      <c r="Q9" s="106"/>
    </row>
    <row r="10" spans="1:28" x14ac:dyDescent="0.25">
      <c r="B10" s="108">
        <v>1058137013</v>
      </c>
      <c r="C10" s="108">
        <v>1116101876</v>
      </c>
      <c r="D10" s="108">
        <v>1176880543</v>
      </c>
      <c r="E10" s="108">
        <v>1232334304</v>
      </c>
      <c r="F10" s="108">
        <v>1288050281</v>
      </c>
      <c r="G10" s="108">
        <v>1343523246</v>
      </c>
      <c r="H10" s="108">
        <v>1398901751</v>
      </c>
      <c r="I10" s="108">
        <v>8613929014</v>
      </c>
      <c r="P10" s="67">
        <f t="shared" ref="P10:Q12" si="1">SUM(B3,D3,F3,H3,J3,L3,N3)</f>
        <v>7383291459.0799999</v>
      </c>
      <c r="Q10" s="67">
        <f t="shared" si="1"/>
        <v>471273922.92000008</v>
      </c>
    </row>
    <row r="11" spans="1:28" ht="51.75" customHeight="1" x14ac:dyDescent="0.25">
      <c r="A11" s="109"/>
      <c r="B11" s="110"/>
      <c r="C11" s="102"/>
      <c r="D11" s="102"/>
      <c r="E11" s="102"/>
      <c r="F11" s="111"/>
      <c r="G11" s="102"/>
      <c r="H11" s="102"/>
      <c r="I11" s="102"/>
      <c r="K11" s="102"/>
      <c r="L11" s="102">
        <v>1262911851.24</v>
      </c>
      <c r="M11" s="102">
        <v>80611394.760000005</v>
      </c>
      <c r="N11" s="102"/>
      <c r="O11" s="102"/>
      <c r="P11" s="102">
        <f t="shared" si="1"/>
        <v>713801814.08000004</v>
      </c>
      <c r="Q11" s="102">
        <f t="shared" si="1"/>
        <v>45561817.920000002</v>
      </c>
      <c r="S11" s="67"/>
    </row>
    <row r="12" spans="1:28" ht="45" customHeight="1" x14ac:dyDescent="0.25">
      <c r="A12" s="109"/>
      <c r="C12" s="91"/>
      <c r="D12" s="102">
        <v>1049135763.4400001</v>
      </c>
      <c r="E12" s="102">
        <v>66966112.560000002</v>
      </c>
      <c r="F12" s="111"/>
      <c r="G12" s="102"/>
      <c r="H12" s="112"/>
      <c r="I12" s="102"/>
      <c r="J12" s="102"/>
      <c r="K12" s="113"/>
      <c r="L12" s="102"/>
      <c r="M12" s="102"/>
      <c r="N12" s="102"/>
      <c r="O12" s="102"/>
      <c r="P12" s="102">
        <f t="shared" si="1"/>
        <v>8097093274.4799986</v>
      </c>
      <c r="Q12" s="102">
        <f t="shared" si="1"/>
        <v>516835739.52000004</v>
      </c>
      <c r="S12" s="67"/>
    </row>
    <row r="13" spans="1:28" ht="105" customHeight="1" x14ac:dyDescent="0.25"/>
    <row r="27" ht="48.75" customHeight="1" x14ac:dyDescent="0.25"/>
  </sheetData>
  <mergeCells count="17"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B6:C6"/>
    <mergeCell ref="D6:E6"/>
    <mergeCell ref="F6:G6"/>
    <mergeCell ref="H6:I6"/>
    <mergeCell ref="J6:K6"/>
    <mergeCell ref="L6:M6"/>
    <mergeCell ref="N6:O6"/>
    <mergeCell ref="P6:Q6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3"/>
  <sheetViews>
    <sheetView topLeftCell="A11" zoomScale="90" zoomScaleNormal="90" workbookViewId="0">
      <selection activeCell="E21" sqref="E21"/>
    </sheetView>
  </sheetViews>
  <sheetFormatPr defaultRowHeight="15" x14ac:dyDescent="0.25"/>
  <cols>
    <col min="1" max="1" width="15.28515625"/>
    <col min="2" max="2" width="16.5703125"/>
    <col min="3" max="3" width="16.7109375"/>
    <col min="4" max="4" width="16.28515625"/>
    <col min="5" max="5" width="17.28515625"/>
    <col min="6" max="6" width="16.140625"/>
    <col min="7" max="7" width="16.85546875"/>
    <col min="8" max="8" width="15.7109375"/>
    <col min="9" max="9" width="17.140625"/>
    <col min="10" max="10" width="16.7109375"/>
    <col min="11" max="11" width="18.140625"/>
    <col min="12" max="12" width="16.42578125"/>
    <col min="13" max="13" width="17.28515625"/>
    <col min="14" max="14" width="17.5703125"/>
    <col min="15" max="15" width="17.85546875"/>
    <col min="16" max="16" width="17"/>
    <col min="17" max="17" width="19.5703125"/>
    <col min="18" max="18" width="14.7109375"/>
    <col min="19" max="19" width="19.5703125"/>
    <col min="20" max="20" width="14"/>
    <col min="21" max="21" width="14.5703125"/>
    <col min="22" max="22" width="15.28515625"/>
    <col min="23" max="23" width="8.85546875"/>
    <col min="24" max="24" width="14"/>
    <col min="25" max="25" width="13.28515625"/>
    <col min="26" max="26" width="12.42578125"/>
    <col min="27" max="27" width="8.140625"/>
    <col min="28" max="1025" width="8.7109375"/>
  </cols>
  <sheetData>
    <row r="1" spans="1:28" ht="26.25" hidden="1" customHeight="1" x14ac:dyDescent="0.25">
      <c r="A1" s="534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7"/>
      <c r="S1" s="7"/>
      <c r="T1" s="7"/>
      <c r="U1" s="7"/>
      <c r="V1" s="7"/>
      <c r="W1" s="7"/>
    </row>
    <row r="2" spans="1:28" hidden="1" x14ac:dyDescent="0.25">
      <c r="A2" s="53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7"/>
      <c r="S2" s="7"/>
      <c r="T2" s="7"/>
      <c r="U2" s="7"/>
      <c r="V2" s="7"/>
      <c r="W2" s="7"/>
    </row>
    <row r="3" spans="1:28" hidden="1" x14ac:dyDescent="0.25">
      <c r="A3" s="114"/>
      <c r="B3" s="115"/>
      <c r="C3" s="115"/>
      <c r="D3" s="115"/>
      <c r="E3" s="115"/>
      <c r="F3" s="115"/>
      <c r="G3" s="115"/>
      <c r="H3" s="116"/>
      <c r="I3" s="115"/>
      <c r="J3" s="115"/>
      <c r="K3" s="115"/>
      <c r="L3" s="115"/>
      <c r="M3" s="115"/>
      <c r="N3" s="115"/>
      <c r="O3" s="115"/>
      <c r="P3" s="115"/>
      <c r="Q3" s="115"/>
      <c r="R3" s="10"/>
      <c r="S3" s="10"/>
      <c r="T3" s="7"/>
      <c r="U3" s="7"/>
      <c r="V3" s="7"/>
      <c r="W3" s="7"/>
    </row>
    <row r="4" spans="1:28" hidden="1" x14ac:dyDescent="0.25">
      <c r="A4" s="114"/>
      <c r="B4" s="115"/>
      <c r="C4" s="115"/>
      <c r="D4" s="115"/>
      <c r="E4" s="115"/>
      <c r="F4" s="115"/>
      <c r="G4" s="115"/>
      <c r="H4" s="116"/>
      <c r="I4" s="115"/>
      <c r="J4" s="115"/>
      <c r="K4" s="115"/>
      <c r="L4" s="115"/>
      <c r="M4" s="115"/>
      <c r="N4" s="115"/>
      <c r="O4" s="115"/>
      <c r="P4" s="75"/>
      <c r="Q4" s="75"/>
      <c r="R4" s="10"/>
      <c r="S4" s="10"/>
      <c r="T4" s="117"/>
      <c r="U4" s="117"/>
      <c r="V4" s="117"/>
      <c r="W4" s="117"/>
      <c r="X4" s="100"/>
      <c r="Y4" s="100"/>
      <c r="Z4" s="100"/>
      <c r="AA4" s="100"/>
      <c r="AB4" s="100"/>
    </row>
    <row r="5" spans="1:28" ht="45" hidden="1" customHeight="1" x14ac:dyDescent="0.25">
      <c r="A5" s="114"/>
      <c r="B5" s="118"/>
      <c r="C5" s="115"/>
      <c r="D5" s="115"/>
      <c r="E5" s="115"/>
      <c r="F5" s="118"/>
      <c r="G5" s="115"/>
      <c r="H5" s="115"/>
      <c r="I5" s="115"/>
      <c r="J5" s="118"/>
      <c r="K5" s="115"/>
      <c r="L5" s="115"/>
      <c r="M5" s="115"/>
      <c r="N5" s="118"/>
      <c r="O5" s="115"/>
      <c r="P5" s="119"/>
      <c r="Q5" s="119"/>
      <c r="R5" s="10"/>
      <c r="S5" s="10"/>
      <c r="T5" s="74"/>
      <c r="U5" s="74"/>
      <c r="V5" s="74"/>
      <c r="W5" s="74"/>
      <c r="X5" s="67"/>
      <c r="Y5" s="67"/>
      <c r="Z5" s="67"/>
    </row>
    <row r="6" spans="1:28" ht="35.25" hidden="1" customHeight="1" x14ac:dyDescent="0.25">
      <c r="A6" s="93"/>
      <c r="B6" s="527"/>
      <c r="C6" s="527"/>
      <c r="D6" s="527"/>
      <c r="E6" s="527"/>
      <c r="F6" s="527"/>
      <c r="G6" s="527"/>
      <c r="H6" s="527"/>
      <c r="I6" s="527"/>
      <c r="J6" s="532"/>
      <c r="K6" s="532"/>
      <c r="L6" s="532"/>
      <c r="M6" s="532"/>
      <c r="N6" s="532"/>
      <c r="O6" s="532"/>
      <c r="P6" s="533"/>
      <c r="Q6" s="533"/>
    </row>
    <row r="7" spans="1:28" hidden="1" x14ac:dyDescent="0.25">
      <c r="A7" s="502"/>
      <c r="B7" s="530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S7" s="67"/>
    </row>
    <row r="8" spans="1:28" ht="60.75" hidden="1" customHeight="1" x14ac:dyDescent="0.25">
      <c r="A8" s="502"/>
      <c r="B8" s="530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T8" s="67"/>
      <c r="U8" s="67"/>
      <c r="V8" s="67"/>
      <c r="W8" s="67"/>
      <c r="X8" s="67"/>
      <c r="Y8" s="67"/>
      <c r="Z8" s="67"/>
    </row>
    <row r="9" spans="1:28" ht="24.75" hidden="1" customHeight="1" x14ac:dyDescent="0.25">
      <c r="A9" s="502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S9" s="67"/>
    </row>
    <row r="10" spans="1:28" hidden="1" x14ac:dyDescent="0.25">
      <c r="A10" s="502"/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U10" s="67"/>
      <c r="V10" s="67"/>
      <c r="X10" s="67"/>
      <c r="Y10" s="67"/>
      <c r="Z10" s="67"/>
    </row>
    <row r="11" spans="1:28" x14ac:dyDescent="0.25">
      <c r="A11" s="120" t="s">
        <v>64</v>
      </c>
      <c r="B11" s="121" t="s">
        <v>65</v>
      </c>
      <c r="C11" s="122" t="s">
        <v>66</v>
      </c>
      <c r="D11" s="122" t="s">
        <v>67</v>
      </c>
      <c r="E11" s="122" t="s">
        <v>68</v>
      </c>
      <c r="F11" s="123" t="s">
        <v>69</v>
      </c>
      <c r="G11" s="123" t="s">
        <v>70</v>
      </c>
      <c r="H11" s="123" t="s">
        <v>71</v>
      </c>
      <c r="I11" s="123" t="s">
        <v>72</v>
      </c>
      <c r="J11" s="123" t="s">
        <v>73</v>
      </c>
      <c r="K11" s="123" t="s">
        <v>74</v>
      </c>
      <c r="L11" s="123" t="s">
        <v>75</v>
      </c>
      <c r="N11" s="124" t="s">
        <v>41</v>
      </c>
      <c r="P11" s="125" t="s">
        <v>76</v>
      </c>
    </row>
    <row r="12" spans="1:28" x14ac:dyDescent="0.25">
      <c r="A12" s="126" t="s">
        <v>77</v>
      </c>
      <c r="B12" s="127" t="s">
        <v>78</v>
      </c>
      <c r="C12" s="127" t="s">
        <v>79</v>
      </c>
      <c r="D12" s="128" t="s">
        <v>80</v>
      </c>
      <c r="E12" s="107">
        <v>7854565382</v>
      </c>
      <c r="F12" s="107">
        <v>956090820</v>
      </c>
      <c r="G12" s="107">
        <v>1011956569</v>
      </c>
      <c r="H12" s="107">
        <v>1070622892</v>
      </c>
      <c r="I12" s="107">
        <v>1123960517</v>
      </c>
      <c r="J12" s="107">
        <v>1177431989</v>
      </c>
      <c r="K12" s="107">
        <v>1230701139</v>
      </c>
      <c r="L12" s="107">
        <v>1283801456</v>
      </c>
      <c r="M12" s="67"/>
      <c r="N12" s="67">
        <f>SUM(F12:L12)</f>
        <v>7854565382</v>
      </c>
      <c r="P12" s="67">
        <v>7888858664</v>
      </c>
      <c r="S12" s="67"/>
      <c r="W12" s="129"/>
    </row>
    <row r="13" spans="1:28" x14ac:dyDescent="0.25">
      <c r="A13" s="126" t="s">
        <v>81</v>
      </c>
      <c r="B13" s="127" t="s">
        <v>78</v>
      </c>
      <c r="C13" s="127" t="s">
        <v>79</v>
      </c>
      <c r="D13" s="128" t="s">
        <v>82</v>
      </c>
      <c r="E13" s="107">
        <v>759363632</v>
      </c>
      <c r="F13" s="107">
        <v>102046193</v>
      </c>
      <c r="G13" s="107">
        <v>104145307</v>
      </c>
      <c r="H13" s="107">
        <v>106257651</v>
      </c>
      <c r="I13" s="107">
        <v>108373787</v>
      </c>
      <c r="J13" s="107">
        <v>110618292</v>
      </c>
      <c r="K13" s="107">
        <v>112822107</v>
      </c>
      <c r="L13" s="107">
        <v>115100295</v>
      </c>
      <c r="M13" s="7"/>
      <c r="N13" s="49">
        <f>SUM(F13:L13)</f>
        <v>759363632</v>
      </c>
      <c r="O13" s="130" t="s">
        <v>83</v>
      </c>
      <c r="P13" s="49">
        <v>725070350</v>
      </c>
      <c r="Q13" s="131"/>
      <c r="R13" s="131"/>
      <c r="S13" s="131"/>
      <c r="T13" s="131"/>
      <c r="U13" s="131"/>
      <c r="V13" s="131"/>
      <c r="W13" s="132"/>
    </row>
    <row r="14" spans="1:28" x14ac:dyDescent="0.25">
      <c r="A14" s="133"/>
      <c r="B14" s="134"/>
      <c r="C14" s="134"/>
      <c r="D14" s="135"/>
      <c r="E14" s="108">
        <v>8613929014</v>
      </c>
      <c r="F14" s="108">
        <v>1058137013</v>
      </c>
      <c r="G14" s="108">
        <v>1116101876</v>
      </c>
      <c r="H14" s="108">
        <v>1176880543</v>
      </c>
      <c r="I14" s="108">
        <v>1232334304</v>
      </c>
      <c r="J14" s="108">
        <v>1288050281</v>
      </c>
      <c r="K14" s="108">
        <v>1343523246</v>
      </c>
      <c r="L14" s="108">
        <v>1398901751</v>
      </c>
      <c r="M14" s="527"/>
      <c r="N14" s="502"/>
      <c r="O14" s="529">
        <f>(P12-N12)</f>
        <v>34293282</v>
      </c>
      <c r="P14" s="502"/>
      <c r="Q14" s="527"/>
      <c r="R14" s="502"/>
      <c r="S14" s="502"/>
      <c r="T14" s="527"/>
      <c r="U14" s="91"/>
      <c r="V14" s="49"/>
      <c r="W14" s="7"/>
      <c r="X14" s="67"/>
      <c r="Y14" s="67"/>
      <c r="Z14" s="67"/>
    </row>
    <row r="15" spans="1:28" x14ac:dyDescent="0.25">
      <c r="I15" s="136"/>
      <c r="J15" s="67"/>
      <c r="K15" s="137"/>
      <c r="L15" s="502"/>
      <c r="M15" s="527"/>
      <c r="N15" s="502"/>
      <c r="O15" s="529"/>
      <c r="P15" s="502"/>
      <c r="Q15" s="527"/>
      <c r="R15" s="502"/>
      <c r="S15" s="502"/>
      <c r="T15" s="527"/>
      <c r="U15" s="93"/>
      <c r="V15" s="7"/>
      <c r="W15" s="7"/>
    </row>
    <row r="16" spans="1:28" x14ac:dyDescent="0.25">
      <c r="B16" s="67"/>
      <c r="C16" s="67"/>
      <c r="D16" s="67"/>
      <c r="E16" s="67"/>
      <c r="F16" s="67"/>
      <c r="G16" s="67"/>
      <c r="H16" s="67"/>
      <c r="I16" s="136"/>
      <c r="J16" s="67"/>
      <c r="K16" s="137"/>
      <c r="L16" s="502"/>
      <c r="M16" s="138"/>
      <c r="N16" s="528"/>
      <c r="O16" s="73">
        <f>(N13-P13)</f>
        <v>34293282</v>
      </c>
      <c r="P16" s="528"/>
      <c r="Q16" s="139"/>
      <c r="R16" s="528"/>
      <c r="S16" s="139"/>
      <c r="T16" s="140"/>
      <c r="U16" s="526"/>
      <c r="V16" s="7"/>
      <c r="W16" s="7"/>
    </row>
    <row r="17" spans="5:21" x14ac:dyDescent="0.25">
      <c r="N17" s="528"/>
      <c r="P17" s="528"/>
      <c r="R17" s="528"/>
      <c r="U17" s="526"/>
    </row>
    <row r="18" spans="5:21" x14ac:dyDescent="0.25">
      <c r="E18" s="66">
        <f>SUM(E12*0.94)</f>
        <v>7383291459.0799999</v>
      </c>
    </row>
    <row r="19" spans="5:21" x14ac:dyDescent="0.25">
      <c r="E19" s="66">
        <f>(E12*0.06)</f>
        <v>471273922.91999996</v>
      </c>
    </row>
    <row r="21" spans="5:21" x14ac:dyDescent="0.25">
      <c r="E21" s="66">
        <f>(E13*0.094)</f>
        <v>71380181.408000007</v>
      </c>
    </row>
    <row r="22" spans="5:21" x14ac:dyDescent="0.25">
      <c r="E22" s="66">
        <f>(E13*0.06)</f>
        <v>45561817.920000002</v>
      </c>
    </row>
    <row r="23" spans="5:21" ht="48.75" customHeight="1" x14ac:dyDescent="0.25"/>
  </sheetData>
  <mergeCells count="64"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B6:C6"/>
    <mergeCell ref="D6:E6"/>
    <mergeCell ref="F6:G6"/>
    <mergeCell ref="H6:I6"/>
    <mergeCell ref="J6:K6"/>
    <mergeCell ref="L6:M6"/>
    <mergeCell ref="N6:O6"/>
    <mergeCell ref="P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M14:M15"/>
    <mergeCell ref="N14:N15"/>
    <mergeCell ref="O14:O15"/>
    <mergeCell ref="P14:P15"/>
    <mergeCell ref="Q14:Q15"/>
    <mergeCell ref="U16:U17"/>
    <mergeCell ref="R14:R15"/>
    <mergeCell ref="S14:S15"/>
    <mergeCell ref="T14:T15"/>
    <mergeCell ref="L15:L16"/>
    <mergeCell ref="N16:N17"/>
    <mergeCell ref="P16:P17"/>
    <mergeCell ref="R16:R1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="90" zoomScaleNormal="9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U76"/>
  <sheetViews>
    <sheetView zoomScale="90" zoomScaleNormal="90" workbookViewId="0">
      <selection activeCell="K49" sqref="K49"/>
    </sheetView>
  </sheetViews>
  <sheetFormatPr defaultRowHeight="15" x14ac:dyDescent="0.25"/>
  <cols>
    <col min="4" max="4" width="13.140625"/>
    <col min="6" max="6" width="12.28515625"/>
    <col min="9" max="9" width="14.7109375"/>
    <col min="10" max="10" width="18"/>
    <col min="11" max="11" width="17.5703125"/>
    <col min="12" max="12" width="22" style="141"/>
    <col min="13" max="13" width="14.140625"/>
    <col min="14" max="14" width="15.85546875"/>
    <col min="16" max="16" width="8"/>
    <col min="17" max="17" width="63.7109375"/>
    <col min="18" max="18" width="14.85546875"/>
    <col min="19" max="19" width="20.5703125"/>
    <col min="21" max="21" width="20.140625"/>
  </cols>
  <sheetData>
    <row r="1" spans="1:20" x14ac:dyDescent="0.25">
      <c r="L1"/>
    </row>
    <row r="2" spans="1:20" x14ac:dyDescent="0.25">
      <c r="D2" s="142"/>
      <c r="E2" s="142"/>
      <c r="F2" s="142"/>
      <c r="G2" s="142"/>
      <c r="H2" s="142"/>
      <c r="I2" s="142"/>
      <c r="J2" s="142"/>
      <c r="K2" s="142"/>
      <c r="L2" s="143"/>
      <c r="M2" s="142"/>
      <c r="N2" s="142"/>
      <c r="P2" s="7"/>
      <c r="Q2" s="7"/>
      <c r="R2" s="7"/>
      <c r="S2" s="7"/>
      <c r="T2" s="7"/>
    </row>
    <row r="3" spans="1:20" s="151" customFormat="1" ht="85.5" customHeight="1" x14ac:dyDescent="0.25">
      <c r="A3" s="144"/>
      <c r="B3" s="144"/>
      <c r="C3" s="145" t="s">
        <v>84</v>
      </c>
      <c r="D3" s="146" t="s">
        <v>85</v>
      </c>
      <c r="E3" s="146" t="s">
        <v>86</v>
      </c>
      <c r="F3" s="146" t="s">
        <v>87</v>
      </c>
      <c r="G3" s="146" t="s">
        <v>88</v>
      </c>
      <c r="H3" s="146" t="s">
        <v>89</v>
      </c>
      <c r="I3" s="146" t="s">
        <v>90</v>
      </c>
      <c r="J3" s="146" t="s">
        <v>91</v>
      </c>
      <c r="K3" s="146" t="s">
        <v>92</v>
      </c>
      <c r="L3" s="147" t="s">
        <v>93</v>
      </c>
      <c r="M3" s="148"/>
      <c r="N3" s="148"/>
      <c r="O3" s="149"/>
      <c r="P3" s="149"/>
      <c r="Q3" s="150"/>
      <c r="R3" s="149"/>
      <c r="S3" s="149"/>
      <c r="T3" s="144"/>
    </row>
    <row r="4" spans="1:20" ht="22.5" customHeight="1" x14ac:dyDescent="0.25">
      <c r="A4" s="7"/>
      <c r="B4" s="7"/>
      <c r="C4" s="554" t="s">
        <v>32</v>
      </c>
      <c r="D4" s="555">
        <v>3849931178</v>
      </c>
      <c r="E4" s="555" t="s">
        <v>32</v>
      </c>
      <c r="F4" s="555" t="s">
        <v>94</v>
      </c>
      <c r="G4" s="152" t="s">
        <v>95</v>
      </c>
      <c r="H4" s="152" t="s">
        <v>96</v>
      </c>
      <c r="I4" s="153">
        <v>144.78155844155799</v>
      </c>
      <c r="J4" s="153">
        <v>15.3934415584416</v>
      </c>
      <c r="K4" s="153">
        <f>I4+J4</f>
        <v>160.17499999999959</v>
      </c>
      <c r="L4" s="154">
        <f>J4/K4</f>
        <v>9.6103896103896608E-2</v>
      </c>
      <c r="M4" s="155"/>
      <c r="N4" s="155"/>
      <c r="O4" s="7"/>
      <c r="P4" s="156"/>
      <c r="Q4" s="157"/>
      <c r="R4" s="7"/>
      <c r="S4" s="156"/>
      <c r="T4" s="7"/>
    </row>
    <row r="5" spans="1:20" x14ac:dyDescent="0.25">
      <c r="A5" s="7"/>
      <c r="B5" s="7"/>
      <c r="C5" s="554"/>
      <c r="D5" s="555"/>
      <c r="E5" s="555"/>
      <c r="F5" s="555"/>
      <c r="G5" s="152" t="s">
        <v>97</v>
      </c>
      <c r="H5" s="152" t="s">
        <v>96</v>
      </c>
      <c r="I5" s="153">
        <v>2750.84961038961</v>
      </c>
      <c r="J5" s="153">
        <v>292.47538961038998</v>
      </c>
      <c r="K5" s="153">
        <f>I5+J5</f>
        <v>3043.3249999999998</v>
      </c>
      <c r="L5" s="154"/>
      <c r="M5" s="155"/>
      <c r="N5" s="155"/>
      <c r="O5" s="7"/>
      <c r="P5" s="156"/>
      <c r="Q5" s="157"/>
      <c r="R5" s="7"/>
      <c r="S5" s="156"/>
      <c r="T5" s="7"/>
    </row>
    <row r="6" spans="1:20" x14ac:dyDescent="0.25">
      <c r="A6" s="158"/>
      <c r="B6" s="89"/>
      <c r="C6" s="554"/>
      <c r="D6" s="555"/>
      <c r="E6" s="555"/>
      <c r="F6" s="555"/>
      <c r="G6" s="152" t="s">
        <v>98</v>
      </c>
      <c r="H6" s="152" t="s">
        <v>96</v>
      </c>
      <c r="I6" s="153">
        <v>104.4</v>
      </c>
      <c r="J6" s="153">
        <v>11.1</v>
      </c>
      <c r="K6" s="153">
        <f>I6+J6</f>
        <v>115.5</v>
      </c>
      <c r="L6" s="154"/>
      <c r="M6" s="155"/>
      <c r="N6" s="155"/>
      <c r="O6" s="7"/>
      <c r="P6" s="156"/>
      <c r="Q6" s="157"/>
      <c r="R6" s="7"/>
      <c r="S6" s="156"/>
      <c r="T6" s="7"/>
    </row>
    <row r="7" spans="1:20" x14ac:dyDescent="0.25">
      <c r="A7" s="158"/>
      <c r="B7" s="89"/>
      <c r="C7" s="554"/>
      <c r="D7" s="555"/>
      <c r="E7" s="555"/>
      <c r="F7" s="555"/>
      <c r="G7" s="152" t="s">
        <v>99</v>
      </c>
      <c r="H7" s="152" t="s">
        <v>96</v>
      </c>
      <c r="I7" s="153">
        <v>192.88467046971701</v>
      </c>
      <c r="J7" s="153">
        <v>20.507852894768799</v>
      </c>
      <c r="K7" s="153">
        <f>I7+J7</f>
        <v>213.39252336448581</v>
      </c>
      <c r="L7" s="154"/>
      <c r="M7" s="155"/>
      <c r="N7" s="155"/>
      <c r="O7" s="7"/>
      <c r="P7" s="156"/>
      <c r="Q7" s="157"/>
      <c r="R7" s="7"/>
      <c r="S7" s="156"/>
      <c r="T7" s="7"/>
    </row>
    <row r="8" spans="1:20" x14ac:dyDescent="0.25">
      <c r="A8" s="158"/>
      <c r="B8" s="89"/>
      <c r="C8" s="554"/>
      <c r="D8" s="555"/>
      <c r="E8" s="555"/>
      <c r="F8" s="555"/>
      <c r="G8" s="152" t="s">
        <v>99</v>
      </c>
      <c r="H8" s="159" t="s">
        <v>100</v>
      </c>
      <c r="I8" s="153">
        <v>287.08416069911402</v>
      </c>
      <c r="J8" s="153">
        <v>30.5233159364</v>
      </c>
      <c r="K8" s="153">
        <f>I8+J8</f>
        <v>317.60747663551405</v>
      </c>
      <c r="L8" s="154"/>
      <c r="M8" s="155"/>
      <c r="N8" s="155"/>
      <c r="O8" s="7"/>
      <c r="P8" s="156"/>
      <c r="Q8" s="157"/>
      <c r="R8" s="7"/>
      <c r="S8" s="156"/>
      <c r="T8" s="7"/>
    </row>
    <row r="9" spans="1:20" x14ac:dyDescent="0.25">
      <c r="A9" s="556"/>
      <c r="B9" s="89"/>
      <c r="C9" s="557" t="s">
        <v>101</v>
      </c>
      <c r="D9" s="558"/>
      <c r="E9" s="557"/>
      <c r="F9" s="160"/>
      <c r="G9" s="160"/>
      <c r="H9" s="161"/>
      <c r="I9" s="162"/>
      <c r="J9" s="162"/>
      <c r="K9" s="162"/>
      <c r="L9" s="163"/>
      <c r="M9" s="164"/>
      <c r="N9" s="164"/>
      <c r="O9" s="7"/>
      <c r="P9" s="7"/>
      <c r="Q9" s="157"/>
      <c r="R9" s="7"/>
      <c r="S9" s="7"/>
      <c r="T9" s="7"/>
    </row>
    <row r="10" spans="1:20" x14ac:dyDescent="0.25">
      <c r="A10" s="556"/>
      <c r="B10" s="89"/>
      <c r="C10" s="557"/>
      <c r="D10" s="558"/>
      <c r="E10" s="557"/>
      <c r="F10" s="165" t="s">
        <v>102</v>
      </c>
      <c r="G10" s="160"/>
      <c r="H10" s="166"/>
      <c r="I10" s="167">
        <v>3508043296.9452801</v>
      </c>
      <c r="J10" s="168">
        <v>341887881.05472398</v>
      </c>
      <c r="K10" s="164"/>
      <c r="L10" s="169"/>
      <c r="M10" s="170"/>
      <c r="N10" s="171"/>
      <c r="O10" s="7"/>
      <c r="P10" s="156"/>
      <c r="Q10" s="157"/>
      <c r="R10" s="7"/>
      <c r="S10" s="7"/>
      <c r="T10" s="7"/>
    </row>
    <row r="11" spans="1:20" hidden="1" x14ac:dyDescent="0.25">
      <c r="A11" s="7"/>
      <c r="B11" s="7"/>
      <c r="C11" s="550" t="s">
        <v>35</v>
      </c>
      <c r="D11" s="551">
        <v>1043151560</v>
      </c>
      <c r="E11" s="552" t="s">
        <v>32</v>
      </c>
      <c r="F11" s="552" t="s">
        <v>94</v>
      </c>
      <c r="G11" s="172" t="s">
        <v>103</v>
      </c>
      <c r="H11" s="173" t="s">
        <v>96</v>
      </c>
      <c r="I11" s="174"/>
      <c r="J11" s="174"/>
      <c r="K11" s="174"/>
      <c r="L11" s="175"/>
      <c r="M11" s="176"/>
      <c r="N11" s="176"/>
      <c r="O11" s="7"/>
      <c r="P11" s="156"/>
      <c r="Q11" s="157"/>
      <c r="R11" s="7"/>
      <c r="S11" s="7"/>
      <c r="T11" s="7"/>
    </row>
    <row r="12" spans="1:20" hidden="1" x14ac:dyDescent="0.25">
      <c r="A12" s="7"/>
      <c r="B12" s="7"/>
      <c r="C12" s="550"/>
      <c r="D12" s="551"/>
      <c r="E12" s="552"/>
      <c r="F12" s="552"/>
      <c r="G12" s="172" t="s">
        <v>104</v>
      </c>
      <c r="H12" s="173" t="s">
        <v>96</v>
      </c>
      <c r="I12" s="174"/>
      <c r="J12" s="174"/>
      <c r="K12" s="174"/>
      <c r="L12" s="175"/>
      <c r="M12" s="176"/>
      <c r="N12" s="176"/>
      <c r="O12" s="7"/>
      <c r="P12" s="156"/>
      <c r="Q12" s="157"/>
      <c r="R12" s="7"/>
      <c r="S12" s="7"/>
      <c r="T12" s="7"/>
    </row>
    <row r="13" spans="1:20" hidden="1" x14ac:dyDescent="0.25">
      <c r="A13" s="7"/>
      <c r="B13" s="7"/>
      <c r="C13" s="550"/>
      <c r="D13" s="551"/>
      <c r="E13" s="552"/>
      <c r="F13" s="552"/>
      <c r="G13" s="172" t="s">
        <v>105</v>
      </c>
      <c r="H13" s="173" t="s">
        <v>96</v>
      </c>
      <c r="I13" s="174"/>
      <c r="J13" s="174"/>
      <c r="K13" s="174"/>
      <c r="L13" s="175"/>
      <c r="M13" s="176"/>
      <c r="N13" s="176"/>
      <c r="O13" s="7"/>
      <c r="P13" s="156"/>
      <c r="Q13" s="157"/>
      <c r="R13" s="7"/>
      <c r="S13" s="7"/>
      <c r="T13" s="7"/>
    </row>
    <row r="14" spans="1:20" hidden="1" x14ac:dyDescent="0.25">
      <c r="A14" s="7"/>
      <c r="B14" s="7"/>
      <c r="C14" s="550"/>
      <c r="D14" s="551"/>
      <c r="E14" s="552"/>
      <c r="F14" s="552"/>
      <c r="G14" s="172" t="s">
        <v>98</v>
      </c>
      <c r="H14" s="173" t="s">
        <v>96</v>
      </c>
      <c r="I14" s="174"/>
      <c r="J14" s="174"/>
      <c r="K14" s="174"/>
      <c r="L14" s="175"/>
      <c r="M14" s="176"/>
      <c r="N14" s="176"/>
      <c r="O14" s="7"/>
      <c r="P14" s="156"/>
      <c r="Q14" s="157"/>
      <c r="R14" s="7"/>
      <c r="S14" s="7"/>
      <c r="T14" s="7"/>
    </row>
    <row r="15" spans="1:20" hidden="1" x14ac:dyDescent="0.25">
      <c r="A15" s="7"/>
      <c r="B15" s="7"/>
      <c r="C15" s="550"/>
      <c r="D15" s="551"/>
      <c r="E15" s="552"/>
      <c r="F15" s="552"/>
      <c r="G15" s="172" t="s">
        <v>106</v>
      </c>
      <c r="H15" s="173" t="s">
        <v>96</v>
      </c>
      <c r="I15" s="174"/>
      <c r="J15" s="174"/>
      <c r="K15" s="174"/>
      <c r="L15" s="175"/>
      <c r="M15" s="176"/>
      <c r="N15" s="176"/>
      <c r="O15" s="7"/>
      <c r="P15" s="156"/>
      <c r="Q15" s="157"/>
      <c r="R15" s="7"/>
      <c r="S15" s="156"/>
      <c r="T15" s="7"/>
    </row>
    <row r="16" spans="1:20" hidden="1" x14ac:dyDescent="0.25">
      <c r="A16" s="7"/>
      <c r="B16" s="7"/>
      <c r="C16" s="553" t="s">
        <v>101</v>
      </c>
      <c r="D16" s="177"/>
      <c r="E16" s="553"/>
      <c r="F16" s="178"/>
      <c r="G16" s="179"/>
      <c r="H16" s="180"/>
      <c r="I16" s="181"/>
      <c r="J16" s="181"/>
      <c r="K16" s="181"/>
      <c r="L16" s="182"/>
      <c r="M16" s="183"/>
      <c r="N16" s="184"/>
      <c r="O16" s="7"/>
      <c r="P16" s="7"/>
    </row>
    <row r="17" spans="1:16" hidden="1" x14ac:dyDescent="0.25">
      <c r="A17" s="7"/>
      <c r="B17" s="7"/>
      <c r="C17" s="553"/>
      <c r="D17" s="177"/>
      <c r="E17" s="553"/>
      <c r="F17" s="178"/>
      <c r="G17" s="179"/>
      <c r="H17" s="185"/>
      <c r="I17" s="183"/>
      <c r="J17" s="183"/>
      <c r="K17" s="183"/>
      <c r="L17" s="182"/>
      <c r="M17" s="184"/>
      <c r="N17" s="184"/>
      <c r="O17" s="7"/>
      <c r="P17" s="7"/>
    </row>
    <row r="18" spans="1:16" hidden="1" x14ac:dyDescent="0.25">
      <c r="A18" s="7"/>
      <c r="B18" s="7"/>
      <c r="C18" s="553"/>
      <c r="D18" s="177"/>
      <c r="E18" s="553"/>
      <c r="F18" s="178" t="s">
        <v>102</v>
      </c>
      <c r="G18" s="179"/>
      <c r="H18" s="185"/>
      <c r="I18" s="186">
        <v>950515910.171942</v>
      </c>
      <c r="J18" s="186">
        <v>92635649.828057796</v>
      </c>
      <c r="K18" s="181"/>
      <c r="L18" s="182"/>
      <c r="M18" s="184"/>
      <c r="N18" s="184"/>
      <c r="O18" s="7"/>
      <c r="P18" s="156"/>
    </row>
    <row r="19" spans="1:16" hidden="1" x14ac:dyDescent="0.25">
      <c r="A19" s="7"/>
      <c r="B19" s="7"/>
      <c r="C19" s="547" t="s">
        <v>37</v>
      </c>
      <c r="D19" s="548">
        <v>2200878402</v>
      </c>
      <c r="E19" s="547" t="s">
        <v>37</v>
      </c>
      <c r="F19" s="549" t="s">
        <v>107</v>
      </c>
      <c r="G19" s="187" t="s">
        <v>108</v>
      </c>
      <c r="H19" s="187" t="s">
        <v>96</v>
      </c>
      <c r="I19" s="188"/>
      <c r="J19" s="189"/>
      <c r="K19" s="188"/>
      <c r="L19" s="190"/>
      <c r="M19" s="191"/>
      <c r="N19" s="191"/>
      <c r="O19" s="7"/>
      <c r="P19" s="7"/>
    </row>
    <row r="20" spans="1:16" hidden="1" x14ac:dyDescent="0.25">
      <c r="A20" s="7"/>
      <c r="B20" s="7"/>
      <c r="C20" s="547"/>
      <c r="D20" s="548"/>
      <c r="E20" s="547"/>
      <c r="F20" s="547"/>
      <c r="G20" s="187" t="s">
        <v>108</v>
      </c>
      <c r="H20" s="187" t="s">
        <v>109</v>
      </c>
      <c r="I20" s="188"/>
      <c r="J20" s="189"/>
      <c r="K20" s="188"/>
      <c r="L20" s="190"/>
      <c r="M20" s="191"/>
      <c r="N20" s="191"/>
      <c r="O20" s="7"/>
      <c r="P20" s="7"/>
    </row>
    <row r="21" spans="1:16" hidden="1" x14ac:dyDescent="0.25">
      <c r="A21" s="7"/>
      <c r="B21" s="7"/>
      <c r="C21" s="547"/>
      <c r="D21" s="548"/>
      <c r="E21" s="547"/>
      <c r="F21" s="547"/>
      <c r="G21" s="187" t="s">
        <v>97</v>
      </c>
      <c r="H21" s="187" t="s">
        <v>96</v>
      </c>
      <c r="I21" s="188"/>
      <c r="J21" s="189"/>
      <c r="K21" s="188"/>
      <c r="L21" s="190"/>
      <c r="M21" s="191"/>
      <c r="N21" s="191"/>
      <c r="O21" s="7"/>
      <c r="P21" s="7"/>
    </row>
    <row r="22" spans="1:16" hidden="1" x14ac:dyDescent="0.25">
      <c r="C22" s="547"/>
      <c r="D22" s="548"/>
      <c r="E22" s="547"/>
      <c r="F22" s="547"/>
      <c r="G22" s="187" t="s">
        <v>98</v>
      </c>
      <c r="H22" s="187" t="s">
        <v>96</v>
      </c>
      <c r="I22" s="188"/>
      <c r="J22" s="189"/>
      <c r="K22" s="188"/>
      <c r="L22" s="190"/>
      <c r="M22" s="191"/>
      <c r="N22" s="191"/>
      <c r="O22" s="7"/>
      <c r="P22" s="7"/>
    </row>
    <row r="23" spans="1:16" hidden="1" x14ac:dyDescent="0.25">
      <c r="C23" s="547"/>
      <c r="D23" s="548"/>
      <c r="E23" s="547"/>
      <c r="F23" s="547"/>
      <c r="G23" s="187" t="s">
        <v>106</v>
      </c>
      <c r="H23" s="187" t="s">
        <v>96</v>
      </c>
      <c r="I23" s="188"/>
      <c r="J23" s="189"/>
      <c r="K23" s="188"/>
      <c r="L23" s="190"/>
      <c r="M23" s="191"/>
      <c r="N23" s="191"/>
      <c r="O23" s="7"/>
      <c r="P23" s="7"/>
    </row>
    <row r="24" spans="1:16" hidden="1" x14ac:dyDescent="0.25">
      <c r="C24" s="547"/>
      <c r="D24" s="548"/>
      <c r="E24" s="547"/>
      <c r="F24" s="547" t="s">
        <v>110</v>
      </c>
      <c r="G24" s="187" t="s">
        <v>99</v>
      </c>
      <c r="H24" s="187" t="s">
        <v>100</v>
      </c>
      <c r="I24" s="188"/>
      <c r="J24" s="189"/>
      <c r="K24" s="188"/>
      <c r="L24" s="190"/>
      <c r="M24" s="191"/>
      <c r="N24" s="191"/>
      <c r="O24" s="7"/>
      <c r="P24" s="7"/>
    </row>
    <row r="25" spans="1:16" hidden="1" x14ac:dyDescent="0.25">
      <c r="C25" s="547"/>
      <c r="D25" s="548"/>
      <c r="E25" s="547"/>
      <c r="F25" s="547"/>
      <c r="G25" s="187" t="s">
        <v>99</v>
      </c>
      <c r="H25" s="187" t="s">
        <v>111</v>
      </c>
      <c r="I25" s="188"/>
      <c r="J25" s="189"/>
      <c r="K25" s="188"/>
      <c r="L25" s="190"/>
      <c r="M25" s="191"/>
      <c r="N25" s="191"/>
      <c r="O25" s="7"/>
      <c r="P25" s="7"/>
    </row>
    <row r="26" spans="1:16" hidden="1" x14ac:dyDescent="0.25">
      <c r="C26" s="543" t="s">
        <v>101</v>
      </c>
      <c r="D26" s="544"/>
      <c r="E26" s="543"/>
      <c r="F26" s="192"/>
      <c r="G26" s="193"/>
      <c r="H26" s="194"/>
      <c r="I26" s="195"/>
      <c r="J26" s="195"/>
      <c r="K26" s="195"/>
      <c r="L26" s="196"/>
      <c r="M26" s="197"/>
      <c r="N26" s="197"/>
      <c r="O26" s="7"/>
      <c r="P26" s="7"/>
    </row>
    <row r="27" spans="1:16" hidden="1" x14ac:dyDescent="0.25">
      <c r="C27" s="543"/>
      <c r="D27" s="544"/>
      <c r="E27" s="543"/>
      <c r="F27" s="192"/>
      <c r="G27" s="193"/>
      <c r="H27" s="198"/>
      <c r="I27" s="199"/>
      <c r="J27" s="199"/>
      <c r="K27" s="199"/>
      <c r="L27" s="196"/>
      <c r="M27" s="197"/>
      <c r="N27" s="197"/>
      <c r="O27" s="7"/>
      <c r="P27" s="7"/>
    </row>
    <row r="28" spans="1:16" hidden="1" x14ac:dyDescent="0.25">
      <c r="C28" s="543"/>
      <c r="D28" s="544"/>
      <c r="E28" s="543"/>
      <c r="F28" s="192" t="s">
        <v>102</v>
      </c>
      <c r="G28" s="193"/>
      <c r="H28" s="198"/>
      <c r="I28" s="200">
        <v>2005432400.88219</v>
      </c>
      <c r="J28" s="200">
        <v>195446001.11781201</v>
      </c>
      <c r="K28" s="195"/>
      <c r="L28" s="196"/>
      <c r="M28" s="197"/>
      <c r="N28" s="197"/>
      <c r="O28" s="7"/>
      <c r="P28" s="156"/>
    </row>
    <row r="29" spans="1:16" x14ac:dyDescent="0.25">
      <c r="C29" s="538" t="s">
        <v>38</v>
      </c>
      <c r="D29" s="545">
        <v>1222973615</v>
      </c>
      <c r="E29" s="546" t="s">
        <v>32</v>
      </c>
      <c r="F29" s="538" t="s">
        <v>112</v>
      </c>
      <c r="G29" s="201" t="s">
        <v>113</v>
      </c>
      <c r="H29" s="201" t="s">
        <v>96</v>
      </c>
      <c r="I29" s="202">
        <v>423.37380000000002</v>
      </c>
      <c r="J29" s="202">
        <v>29.626200000000001</v>
      </c>
      <c r="K29" s="202">
        <f>I29+J29</f>
        <v>453</v>
      </c>
      <c r="L29" s="203"/>
      <c r="M29" s="204"/>
      <c r="N29" s="204"/>
      <c r="O29" s="7"/>
      <c r="P29" s="156"/>
    </row>
    <row r="30" spans="1:16" ht="18" customHeight="1" x14ac:dyDescent="0.25">
      <c r="C30" s="538"/>
      <c r="D30" s="545"/>
      <c r="E30" s="546"/>
      <c r="F30" s="538"/>
      <c r="G30" s="201" t="s">
        <v>114</v>
      </c>
      <c r="H30" s="201" t="s">
        <v>96</v>
      </c>
      <c r="I30" s="202">
        <v>347.20389999999998</v>
      </c>
      <c r="J30" s="202">
        <v>24.296099999999999</v>
      </c>
      <c r="K30" s="202">
        <f>I30+J30</f>
        <v>371.5</v>
      </c>
      <c r="L30" s="203"/>
      <c r="M30" s="204"/>
      <c r="N30" s="204"/>
      <c r="O30" s="7"/>
      <c r="P30" s="156"/>
    </row>
    <row r="31" spans="1:16" ht="16.5" customHeight="1" x14ac:dyDescent="0.25">
      <c r="C31" s="538"/>
      <c r="D31" s="545"/>
      <c r="E31" s="546"/>
      <c r="F31" s="538"/>
      <c r="G31" s="201" t="s">
        <v>115</v>
      </c>
      <c r="H31" s="201" t="s">
        <v>96</v>
      </c>
      <c r="I31" s="202">
        <v>238.7903</v>
      </c>
      <c r="J31" s="202">
        <v>16.709700000000002</v>
      </c>
      <c r="K31" s="202">
        <f>I31+J31</f>
        <v>255.5</v>
      </c>
      <c r="L31" s="203"/>
      <c r="M31" s="204"/>
      <c r="N31" s="204"/>
      <c r="O31" s="7"/>
      <c r="P31" s="7"/>
    </row>
    <row r="32" spans="1:16" ht="16.5" customHeight="1" x14ac:dyDescent="0.25">
      <c r="C32" s="538"/>
      <c r="D32" s="545"/>
      <c r="E32" s="546"/>
      <c r="F32" s="538"/>
      <c r="G32" s="201" t="s">
        <v>108</v>
      </c>
      <c r="H32" s="201" t="s">
        <v>96</v>
      </c>
      <c r="I32" s="202">
        <v>133.64779999999999</v>
      </c>
      <c r="J32" s="202">
        <v>9.3521999999999998</v>
      </c>
      <c r="K32" s="202">
        <f>I32+J32</f>
        <v>143</v>
      </c>
      <c r="L32" s="203"/>
      <c r="M32" s="204"/>
      <c r="N32" s="204"/>
      <c r="O32" s="7"/>
      <c r="P32" s="7"/>
    </row>
    <row r="33" spans="3:16" ht="21" customHeight="1" x14ac:dyDescent="0.25">
      <c r="C33" s="538"/>
      <c r="D33" s="545"/>
      <c r="E33" s="546"/>
      <c r="F33" s="538"/>
      <c r="G33" s="201" t="s">
        <v>98</v>
      </c>
      <c r="H33" s="201" t="s">
        <v>96</v>
      </c>
      <c r="I33" s="202">
        <v>34.290474000000003</v>
      </c>
      <c r="J33" s="202">
        <v>2.3995259999999998</v>
      </c>
      <c r="K33" s="202">
        <f>I33+J33</f>
        <v>36.690000000000005</v>
      </c>
      <c r="L33" s="203"/>
      <c r="M33" s="204"/>
      <c r="N33" s="204"/>
      <c r="O33" s="7"/>
      <c r="P33" s="7"/>
    </row>
    <row r="34" spans="3:16" x14ac:dyDescent="0.25">
      <c r="C34" s="539" t="s">
        <v>101</v>
      </c>
      <c r="D34" s="540"/>
      <c r="E34" s="539"/>
      <c r="F34" s="205"/>
      <c r="G34" s="206"/>
      <c r="H34" s="207"/>
      <c r="I34" s="208"/>
      <c r="J34" s="208"/>
      <c r="K34" s="208"/>
      <c r="L34" s="209"/>
      <c r="M34" s="210"/>
      <c r="N34" s="210"/>
      <c r="O34" s="7"/>
      <c r="P34" s="7"/>
    </row>
    <row r="35" spans="3:16" x14ac:dyDescent="0.25">
      <c r="C35" s="539"/>
      <c r="D35" s="540"/>
      <c r="E35" s="539"/>
      <c r="F35" s="205"/>
      <c r="G35" s="206"/>
      <c r="H35" s="211"/>
      <c r="I35" s="212"/>
      <c r="J35" s="212"/>
      <c r="K35" s="212"/>
      <c r="L35" s="209"/>
      <c r="M35" s="210"/>
      <c r="N35" s="210"/>
      <c r="O35" s="7"/>
      <c r="P35" s="7"/>
    </row>
    <row r="36" spans="3:16" x14ac:dyDescent="0.25">
      <c r="C36" s="539"/>
      <c r="D36" s="540"/>
      <c r="E36" s="539"/>
      <c r="F36" s="205" t="s">
        <v>102</v>
      </c>
      <c r="G36" s="206"/>
      <c r="H36" s="211"/>
      <c r="I36" s="213">
        <v>1114369113.30387</v>
      </c>
      <c r="J36" s="213">
        <v>108604501.69613101</v>
      </c>
      <c r="K36" s="208"/>
      <c r="L36" s="209"/>
      <c r="M36" s="210"/>
      <c r="N36" s="210"/>
      <c r="O36" s="7"/>
      <c r="P36" s="7"/>
    </row>
    <row r="37" spans="3:16" x14ac:dyDescent="0.25">
      <c r="C37" s="541" t="s">
        <v>116</v>
      </c>
      <c r="D37" s="542">
        <v>296994259</v>
      </c>
      <c r="E37" s="541"/>
      <c r="F37" s="541"/>
      <c r="G37" s="214">
        <v>121</v>
      </c>
      <c r="H37" s="214" t="s">
        <v>96</v>
      </c>
      <c r="I37" s="215">
        <f>(K37*E49)</f>
        <v>251689628.37</v>
      </c>
      <c r="J37" s="215">
        <f>(K37*E50)</f>
        <v>18944380.629999999</v>
      </c>
      <c r="K37" s="215">
        <v>270634009</v>
      </c>
      <c r="L37" s="216">
        <f>(J37/K37)*100</f>
        <v>6.9999999999999991</v>
      </c>
      <c r="M37" s="217"/>
      <c r="N37" s="217"/>
      <c r="O37" s="7"/>
      <c r="P37" s="7"/>
    </row>
    <row r="38" spans="3:16" x14ac:dyDescent="0.25">
      <c r="C38" s="541"/>
      <c r="D38" s="541"/>
      <c r="E38" s="541"/>
      <c r="F38" s="541"/>
      <c r="G38" s="214">
        <v>122</v>
      </c>
      <c r="H38" s="214" t="s">
        <v>96</v>
      </c>
      <c r="I38" s="215">
        <f>(K38*E49)</f>
        <v>5561632.5</v>
      </c>
      <c r="J38" s="215">
        <f>(K38*E50)</f>
        <v>418617.49999999994</v>
      </c>
      <c r="K38" s="215">
        <v>5980250</v>
      </c>
      <c r="L38" s="216">
        <f>(J38/K38)*100</f>
        <v>6.9999999999999991</v>
      </c>
      <c r="M38" s="217"/>
      <c r="N38" s="217"/>
      <c r="O38" s="7"/>
      <c r="P38" s="7"/>
    </row>
    <row r="39" spans="3:16" x14ac:dyDescent="0.25">
      <c r="C39" s="541"/>
      <c r="D39" s="541"/>
      <c r="E39" s="541"/>
      <c r="F39" s="541"/>
      <c r="G39" s="214">
        <v>123</v>
      </c>
      <c r="H39" s="214" t="s">
        <v>96</v>
      </c>
      <c r="I39" s="215">
        <f>(K39*E49)</f>
        <v>18953400</v>
      </c>
      <c r="J39" s="215">
        <f>(K39*E50)</f>
        <v>1426599.9999999998</v>
      </c>
      <c r="K39" s="215">
        <v>20380000</v>
      </c>
      <c r="L39" s="216">
        <f>(J39/K39)*100</f>
        <v>6.9999999999999991</v>
      </c>
      <c r="M39" s="217"/>
      <c r="N39" s="217"/>
      <c r="O39" s="7"/>
      <c r="P39" s="7"/>
    </row>
    <row r="40" spans="3:16" x14ac:dyDescent="0.25">
      <c r="C40" s="536" t="s">
        <v>101</v>
      </c>
      <c r="D40" s="536"/>
      <c r="E40" s="536"/>
      <c r="F40" s="218"/>
      <c r="G40" s="219"/>
      <c r="H40" s="207"/>
      <c r="I40" s="220"/>
      <c r="J40" s="220"/>
      <c r="K40" s="220"/>
      <c r="L40" s="221"/>
      <c r="M40" s="222"/>
      <c r="N40" s="222"/>
    </row>
    <row r="41" spans="3:16" x14ac:dyDescent="0.25">
      <c r="C41" s="536"/>
      <c r="D41" s="536"/>
      <c r="E41" s="536"/>
      <c r="F41" s="218"/>
      <c r="G41" s="219"/>
      <c r="H41" s="211"/>
      <c r="I41" s="223"/>
      <c r="J41" s="223"/>
      <c r="K41" s="223"/>
      <c r="L41" s="221"/>
      <c r="M41" s="222"/>
      <c r="N41" s="222"/>
    </row>
    <row r="42" spans="3:16" x14ac:dyDescent="0.25">
      <c r="C42" s="536"/>
      <c r="D42" s="536"/>
      <c r="E42" s="536"/>
      <c r="F42" s="218" t="s">
        <v>102</v>
      </c>
      <c r="G42" s="219"/>
      <c r="H42" s="211"/>
      <c r="I42" s="224">
        <v>276204660.87</v>
      </c>
      <c r="J42" s="224">
        <v>20789598.129999999</v>
      </c>
      <c r="K42" s="223"/>
      <c r="L42" s="221"/>
      <c r="M42" s="222"/>
      <c r="N42" s="222"/>
    </row>
    <row r="43" spans="3:16" x14ac:dyDescent="0.25">
      <c r="C43" s="535" t="s">
        <v>53</v>
      </c>
      <c r="D43" s="537">
        <f>SUM(D4,D11,D19,D29,D37)</f>
        <v>8613929014</v>
      </c>
      <c r="E43" s="535"/>
      <c r="F43" s="535"/>
      <c r="G43" s="225"/>
      <c r="H43" s="226"/>
      <c r="I43" s="226"/>
      <c r="J43" s="226"/>
      <c r="K43" s="226"/>
      <c r="L43" s="227"/>
      <c r="M43" s="228"/>
      <c r="N43" s="228"/>
    </row>
    <row r="44" spans="3:16" x14ac:dyDescent="0.25">
      <c r="C44" s="535"/>
      <c r="D44" s="537"/>
      <c r="E44" s="535"/>
      <c r="F44" s="535"/>
      <c r="G44" s="225"/>
      <c r="H44" s="229"/>
      <c r="I44" s="229"/>
      <c r="J44" s="229"/>
      <c r="K44" s="229"/>
      <c r="L44" s="227"/>
      <c r="M44" s="228"/>
      <c r="N44" s="228"/>
    </row>
    <row r="45" spans="3:16" x14ac:dyDescent="0.25">
      <c r="C45" s="535"/>
      <c r="D45" s="535"/>
      <c r="E45" s="535"/>
      <c r="F45" s="535"/>
      <c r="G45" s="225"/>
      <c r="H45" s="230"/>
      <c r="I45" s="230"/>
      <c r="J45" s="230"/>
      <c r="K45" s="230"/>
      <c r="L45" s="227"/>
      <c r="M45" s="228"/>
      <c r="N45" s="228"/>
    </row>
    <row r="46" spans="3:16" x14ac:dyDescent="0.25">
      <c r="L46"/>
    </row>
    <row r="47" spans="3:16" x14ac:dyDescent="0.25">
      <c r="E47" t="s">
        <v>117</v>
      </c>
      <c r="L47"/>
      <c r="O47" s="231"/>
    </row>
    <row r="48" spans="3:16" x14ac:dyDescent="0.25">
      <c r="C48" t="s">
        <v>118</v>
      </c>
      <c r="D48" s="67">
        <v>296994259</v>
      </c>
      <c r="J48" s="67"/>
      <c r="K48" s="232"/>
      <c r="L48"/>
      <c r="O48" s="231"/>
    </row>
    <row r="49" spans="3:19" x14ac:dyDescent="0.25">
      <c r="C49" t="s">
        <v>46</v>
      </c>
      <c r="D49" s="67">
        <v>276204660.87</v>
      </c>
      <c r="E49">
        <f>(D49/D48)</f>
        <v>0.93</v>
      </c>
      <c r="J49" s="67"/>
      <c r="K49" s="232"/>
      <c r="L49"/>
      <c r="O49" s="233"/>
    </row>
    <row r="50" spans="3:19" x14ac:dyDescent="0.25">
      <c r="C50" t="s">
        <v>49</v>
      </c>
      <c r="D50" s="67">
        <v>20789598.129999999</v>
      </c>
      <c r="E50">
        <f>(D50/D48)</f>
        <v>6.9999999999999993E-2</v>
      </c>
      <c r="J50" s="67"/>
      <c r="K50" s="232"/>
      <c r="L50"/>
      <c r="O50" s="233"/>
    </row>
    <row r="51" spans="3:19" x14ac:dyDescent="0.25">
      <c r="L51"/>
      <c r="O51" s="233"/>
    </row>
    <row r="52" spans="3:19" ht="32.25" customHeight="1" x14ac:dyDescent="0.25">
      <c r="L52"/>
      <c r="O52" s="233"/>
      <c r="P52" s="234" t="s">
        <v>119</v>
      </c>
      <c r="Q52" s="234" t="s">
        <v>120</v>
      </c>
      <c r="R52" s="146" t="s">
        <v>121</v>
      </c>
      <c r="S52" s="146" t="s">
        <v>122</v>
      </c>
    </row>
    <row r="53" spans="3:19" ht="38.25" customHeight="1" x14ac:dyDescent="0.25">
      <c r="I53" s="235" t="s">
        <v>123</v>
      </c>
      <c r="J53" s="236" t="s">
        <v>124</v>
      </c>
      <c r="K53" s="236" t="s">
        <v>125</v>
      </c>
      <c r="L53" s="237" t="s">
        <v>126</v>
      </c>
      <c r="O53" s="233"/>
      <c r="P53" s="238" t="s">
        <v>95</v>
      </c>
      <c r="Q53" s="239" t="s">
        <v>127</v>
      </c>
      <c r="R53" s="240">
        <v>0</v>
      </c>
      <c r="S53" s="241">
        <v>597200000</v>
      </c>
    </row>
    <row r="54" spans="3:19" ht="32.25" customHeight="1" x14ac:dyDescent="0.25">
      <c r="I54" s="191" t="s">
        <v>128</v>
      </c>
      <c r="J54" s="242">
        <f>I6</f>
        <v>104.4</v>
      </c>
      <c r="K54" s="242">
        <f>J6</f>
        <v>11.1</v>
      </c>
      <c r="L54" s="243">
        <f>K6</f>
        <v>115.5</v>
      </c>
      <c r="O54" s="233"/>
      <c r="P54" s="234" t="s">
        <v>103</v>
      </c>
      <c r="Q54" s="239" t="s">
        <v>129</v>
      </c>
      <c r="R54" s="240">
        <v>0</v>
      </c>
      <c r="S54" s="241">
        <v>1149211215.01</v>
      </c>
    </row>
    <row r="55" spans="3:19" ht="33" customHeight="1" x14ac:dyDescent="0.25">
      <c r="I55" s="191" t="s">
        <v>130</v>
      </c>
      <c r="J55" s="242">
        <f>I14</f>
        <v>0</v>
      </c>
      <c r="K55" s="242">
        <f>J14</f>
        <v>0</v>
      </c>
      <c r="L55" s="244">
        <f>K14</f>
        <v>0</v>
      </c>
      <c r="O55" s="233"/>
      <c r="P55" s="234" t="s">
        <v>104</v>
      </c>
      <c r="Q55" s="239" t="s">
        <v>131</v>
      </c>
      <c r="R55" s="240">
        <v>0</v>
      </c>
      <c r="S55" s="241">
        <v>594100500</v>
      </c>
    </row>
    <row r="56" spans="3:19" ht="25.5" customHeight="1" x14ac:dyDescent="0.25">
      <c r="I56" s="191" t="s">
        <v>132</v>
      </c>
      <c r="J56" s="240">
        <v>0</v>
      </c>
      <c r="K56" s="240">
        <v>0</v>
      </c>
      <c r="L56" s="244">
        <v>0</v>
      </c>
      <c r="O56" s="233"/>
      <c r="P56" s="234" t="s">
        <v>113</v>
      </c>
      <c r="Q56" s="239" t="s">
        <v>133</v>
      </c>
      <c r="R56" s="240">
        <v>0</v>
      </c>
      <c r="S56" s="241">
        <v>579500000</v>
      </c>
    </row>
    <row r="57" spans="3:19" ht="30" customHeight="1" x14ac:dyDescent="0.25">
      <c r="I57" s="191" t="s">
        <v>134</v>
      </c>
      <c r="J57" s="242">
        <f>I33</f>
        <v>34.290474000000003</v>
      </c>
      <c r="K57" s="242">
        <f>J33</f>
        <v>2.3995259999999998</v>
      </c>
      <c r="L57" s="244">
        <f>K33</f>
        <v>36.690000000000005</v>
      </c>
      <c r="O57" s="233"/>
      <c r="P57" s="234" t="s">
        <v>105</v>
      </c>
      <c r="Q57" s="239" t="s">
        <v>135</v>
      </c>
      <c r="R57" s="240">
        <v>0</v>
      </c>
      <c r="S57" s="240"/>
    </row>
    <row r="58" spans="3:19" ht="24" customHeight="1" x14ac:dyDescent="0.25">
      <c r="I58" s="245" t="s">
        <v>41</v>
      </c>
      <c r="J58" s="246">
        <f>SUM(J54:J57)</f>
        <v>138.69047399999999</v>
      </c>
      <c r="K58" s="246">
        <f>SUM(K54:K57)</f>
        <v>13.499525999999999</v>
      </c>
      <c r="L58" s="247">
        <f>SUM(L54:L57)</f>
        <v>152.19</v>
      </c>
      <c r="O58" s="233"/>
      <c r="P58" s="234"/>
      <c r="Q58" s="239"/>
      <c r="R58" s="240"/>
      <c r="S58" s="240"/>
    </row>
    <row r="59" spans="3:19" ht="36" customHeight="1" x14ac:dyDescent="0.25">
      <c r="O59" s="233"/>
      <c r="P59" s="234" t="s">
        <v>114</v>
      </c>
      <c r="Q59" s="239" t="s">
        <v>136</v>
      </c>
      <c r="R59" s="240">
        <v>0</v>
      </c>
      <c r="S59" s="241">
        <v>667700500</v>
      </c>
    </row>
    <row r="60" spans="3:19" ht="30.75" customHeight="1" x14ac:dyDescent="0.25">
      <c r="O60" s="233"/>
      <c r="P60" s="234" t="s">
        <v>115</v>
      </c>
      <c r="Q60" s="239" t="s">
        <v>137</v>
      </c>
      <c r="R60" s="240"/>
      <c r="S60" s="241">
        <v>687270428.57000005</v>
      </c>
    </row>
    <row r="61" spans="3:19" ht="44.25" customHeight="1" x14ac:dyDescent="0.25">
      <c r="O61" s="233"/>
      <c r="P61" s="234" t="s">
        <v>108</v>
      </c>
      <c r="Q61" s="234" t="s">
        <v>138</v>
      </c>
      <c r="R61" s="240">
        <v>0</v>
      </c>
      <c r="S61" s="241">
        <v>219685285.71000001</v>
      </c>
    </row>
    <row r="62" spans="3:19" ht="27.75" customHeight="1" x14ac:dyDescent="0.25">
      <c r="O62" s="233"/>
      <c r="P62" s="234" t="s">
        <v>139</v>
      </c>
      <c r="Q62" s="239" t="s">
        <v>140</v>
      </c>
      <c r="R62" s="240">
        <v>0</v>
      </c>
      <c r="S62" s="241">
        <v>57142857.149999999</v>
      </c>
    </row>
    <row r="63" spans="3:19" ht="48" customHeight="1" x14ac:dyDescent="0.25">
      <c r="O63" s="233"/>
      <c r="P63" s="234" t="s">
        <v>97</v>
      </c>
      <c r="Q63" s="234" t="s">
        <v>141</v>
      </c>
      <c r="R63" s="240">
        <v>0</v>
      </c>
      <c r="S63" s="241">
        <f>(2440367628)-U76</f>
        <v>2439419369</v>
      </c>
    </row>
    <row r="64" spans="3:19" ht="61.5" customHeight="1" x14ac:dyDescent="0.25">
      <c r="O64" s="233"/>
      <c r="P64" s="234" t="s">
        <v>98</v>
      </c>
      <c r="Q64" s="239" t="s">
        <v>142</v>
      </c>
      <c r="R64" s="248">
        <v>100</v>
      </c>
      <c r="S64" s="249">
        <v>411494600</v>
      </c>
    </row>
    <row r="65" spans="15:21" ht="39.75" customHeight="1" x14ac:dyDescent="0.25">
      <c r="O65" s="233"/>
      <c r="P65" s="234" t="s">
        <v>106</v>
      </c>
      <c r="Q65" s="239" t="s">
        <v>143</v>
      </c>
      <c r="R65" s="240">
        <v>0</v>
      </c>
      <c r="S65" s="240"/>
    </row>
    <row r="66" spans="15:21" ht="33" customHeight="1" x14ac:dyDescent="0.25">
      <c r="O66" s="233"/>
      <c r="P66" s="234" t="s">
        <v>99</v>
      </c>
      <c r="Q66" s="239" t="s">
        <v>144</v>
      </c>
      <c r="R66" s="240">
        <v>0</v>
      </c>
      <c r="S66" s="241">
        <v>914210000</v>
      </c>
    </row>
    <row r="67" spans="15:21" ht="30.75" customHeight="1" x14ac:dyDescent="0.25">
      <c r="O67" s="233"/>
      <c r="P67" s="234" t="s">
        <v>145</v>
      </c>
      <c r="Q67" s="239" t="s">
        <v>146</v>
      </c>
      <c r="R67" s="240">
        <v>100</v>
      </c>
      <c r="S67" s="240"/>
    </row>
    <row r="68" spans="15:21" ht="40.5" customHeight="1" x14ac:dyDescent="0.25">
      <c r="O68" s="233"/>
      <c r="P68" s="234" t="s">
        <v>147</v>
      </c>
      <c r="Q68" s="239" t="s">
        <v>148</v>
      </c>
      <c r="R68" s="240">
        <v>40</v>
      </c>
      <c r="S68" s="240"/>
    </row>
    <row r="69" spans="15:21" ht="36.75" customHeight="1" x14ac:dyDescent="0.25">
      <c r="O69" s="233"/>
      <c r="P69" s="234" t="s">
        <v>149</v>
      </c>
      <c r="Q69" s="239" t="s">
        <v>150</v>
      </c>
      <c r="R69" s="240">
        <v>100</v>
      </c>
      <c r="S69" s="240"/>
    </row>
    <row r="70" spans="15:21" ht="54.75" customHeight="1" x14ac:dyDescent="0.25">
      <c r="O70" s="233"/>
      <c r="P70" s="234" t="s">
        <v>151</v>
      </c>
      <c r="Q70" s="234" t="s">
        <v>152</v>
      </c>
      <c r="R70" s="240">
        <v>100</v>
      </c>
      <c r="S70" s="240"/>
    </row>
    <row r="71" spans="15:21" ht="27" customHeight="1" x14ac:dyDescent="0.25">
      <c r="O71" s="233"/>
      <c r="P71" s="234" t="s">
        <v>153</v>
      </c>
      <c r="Q71" s="239" t="s">
        <v>154</v>
      </c>
      <c r="R71" s="240">
        <v>0</v>
      </c>
      <c r="S71" s="241">
        <v>270634009</v>
      </c>
      <c r="U71" s="67">
        <f>SUM(S71:S73)</f>
        <v>296994259</v>
      </c>
    </row>
    <row r="72" spans="15:21" ht="16.5" customHeight="1" x14ac:dyDescent="0.25">
      <c r="O72" s="233"/>
      <c r="P72" s="234" t="s">
        <v>155</v>
      </c>
      <c r="Q72" s="239" t="s">
        <v>156</v>
      </c>
      <c r="R72" s="240">
        <v>0</v>
      </c>
      <c r="S72" s="241">
        <v>5980250</v>
      </c>
    </row>
    <row r="73" spans="15:21" ht="16.5" customHeight="1" x14ac:dyDescent="0.25">
      <c r="O73" s="233"/>
      <c r="P73" s="234" t="s">
        <v>157</v>
      </c>
      <c r="Q73" s="239" t="s">
        <v>158</v>
      </c>
      <c r="R73" s="240">
        <v>0</v>
      </c>
      <c r="S73" s="241">
        <v>20380000</v>
      </c>
    </row>
    <row r="74" spans="15:21" x14ac:dyDescent="0.25">
      <c r="O74" s="233"/>
      <c r="U74" s="67">
        <v>296046000</v>
      </c>
    </row>
    <row r="75" spans="15:21" x14ac:dyDescent="0.25">
      <c r="O75" s="233"/>
      <c r="R75" s="250" t="s">
        <v>41</v>
      </c>
      <c r="S75" s="81">
        <f>SUM(S53:S73)</f>
        <v>8613929014.4399986</v>
      </c>
    </row>
    <row r="76" spans="15:21" x14ac:dyDescent="0.25">
      <c r="U76" s="67">
        <f>(U71-U74)</f>
        <v>948259</v>
      </c>
    </row>
  </sheetData>
  <mergeCells count="40">
    <mergeCell ref="C4:C8"/>
    <mergeCell ref="D4:D8"/>
    <mergeCell ref="E4:E8"/>
    <mergeCell ref="F4:F8"/>
    <mergeCell ref="A9:A10"/>
    <mergeCell ref="C9:C10"/>
    <mergeCell ref="D9:D10"/>
    <mergeCell ref="E9:E10"/>
    <mergeCell ref="C11:C15"/>
    <mergeCell ref="D11:D15"/>
    <mergeCell ref="E11:E15"/>
    <mergeCell ref="F11:F15"/>
    <mergeCell ref="C16:C18"/>
    <mergeCell ref="E16:E18"/>
    <mergeCell ref="C19:C25"/>
    <mergeCell ref="D19:D25"/>
    <mergeCell ref="E19:E25"/>
    <mergeCell ref="F19:F23"/>
    <mergeCell ref="F24:F25"/>
    <mergeCell ref="C26:C28"/>
    <mergeCell ref="D26:D28"/>
    <mergeCell ref="E26:E28"/>
    <mergeCell ref="C29:C33"/>
    <mergeCell ref="D29:D33"/>
    <mergeCell ref="E29:E33"/>
    <mergeCell ref="F29:F33"/>
    <mergeCell ref="C34:C36"/>
    <mergeCell ref="D34:D36"/>
    <mergeCell ref="E34:E36"/>
    <mergeCell ref="C37:C39"/>
    <mergeCell ref="D37:D39"/>
    <mergeCell ref="E37:E39"/>
    <mergeCell ref="F37:F39"/>
    <mergeCell ref="F43:F45"/>
    <mergeCell ref="C40:C42"/>
    <mergeCell ref="D40:D42"/>
    <mergeCell ref="E40:E42"/>
    <mergeCell ref="C43:C45"/>
    <mergeCell ref="D43:D45"/>
    <mergeCell ref="E43:E4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N12"/>
  <sheetViews>
    <sheetView topLeftCell="A4" zoomScale="90" zoomScaleNormal="90" workbookViewId="0">
      <selection activeCell="E21" sqref="E21"/>
    </sheetView>
  </sheetViews>
  <sheetFormatPr defaultRowHeight="15" x14ac:dyDescent="0.25"/>
  <cols>
    <col min="1" max="1" width="12.28515625"/>
    <col min="3" max="3" width="16.85546875"/>
    <col min="4" max="4" width="17.140625"/>
    <col min="5" max="5" width="13.5703125"/>
    <col min="6" max="6" width="14.140625"/>
    <col min="7" max="7" width="13.28515625"/>
    <col min="8" max="8" width="31.42578125"/>
    <col min="9" max="9" width="36"/>
  </cols>
  <sheetData>
    <row r="1" spans="1:14" ht="60" customHeight="1" x14ac:dyDescent="0.25">
      <c r="A1" s="251" t="s">
        <v>159</v>
      </c>
      <c r="B1" s="252" t="s">
        <v>1</v>
      </c>
      <c r="C1" s="251" t="s">
        <v>160</v>
      </c>
      <c r="D1" s="251" t="s">
        <v>161</v>
      </c>
      <c r="E1" s="251" t="s">
        <v>162</v>
      </c>
      <c r="F1" s="251" t="s">
        <v>86</v>
      </c>
      <c r="G1" s="251" t="s">
        <v>87</v>
      </c>
      <c r="H1" s="251" t="s">
        <v>163</v>
      </c>
      <c r="I1" s="251" t="s">
        <v>164</v>
      </c>
      <c r="N1" s="253"/>
    </row>
    <row r="2" spans="1:14" ht="63.4" customHeight="1" x14ac:dyDescent="0.25">
      <c r="A2" s="254" t="s">
        <v>28</v>
      </c>
      <c r="B2" s="255" t="s">
        <v>29</v>
      </c>
      <c r="C2" s="256">
        <v>3849931178</v>
      </c>
      <c r="D2" s="257">
        <f>C2</f>
        <v>3849931178</v>
      </c>
      <c r="E2" s="258">
        <f>(C2/C12)*1</f>
        <v>0.4469425243396834</v>
      </c>
      <c r="F2" s="255">
        <v>1</v>
      </c>
      <c r="G2" s="255" t="s">
        <v>94</v>
      </c>
      <c r="H2" s="259" t="s">
        <v>165</v>
      </c>
      <c r="I2" s="260" t="s">
        <v>166</v>
      </c>
      <c r="M2" s="261"/>
      <c r="N2" s="262"/>
    </row>
    <row r="3" spans="1:14" ht="69.75" customHeight="1" x14ac:dyDescent="0.25">
      <c r="A3" s="263" t="s">
        <v>34</v>
      </c>
      <c r="B3" s="264" t="s">
        <v>29</v>
      </c>
      <c r="C3" s="265">
        <v>1043151560</v>
      </c>
      <c r="D3" s="266">
        <f>+C3</f>
        <v>1043151560</v>
      </c>
      <c r="E3" s="258">
        <f>(C3/C12)*1</f>
        <v>0.12110055217596898</v>
      </c>
      <c r="F3" s="267">
        <v>1</v>
      </c>
      <c r="G3" s="267" t="s">
        <v>94</v>
      </c>
      <c r="H3" s="260" t="s">
        <v>167</v>
      </c>
      <c r="I3" s="260" t="s">
        <v>166</v>
      </c>
      <c r="M3" s="261"/>
      <c r="N3" s="268"/>
    </row>
    <row r="4" spans="1:14" ht="73.5" customHeight="1" x14ac:dyDescent="0.25">
      <c r="A4" s="561" t="s">
        <v>36</v>
      </c>
      <c r="B4" s="565" t="s">
        <v>29</v>
      </c>
      <c r="C4" s="566">
        <v>2200878402</v>
      </c>
      <c r="D4" s="269"/>
      <c r="E4" s="567">
        <f>(C4/C12)*1</f>
        <v>0.25550226829394207</v>
      </c>
      <c r="F4" s="565">
        <v>3</v>
      </c>
      <c r="G4" s="264" t="s">
        <v>107</v>
      </c>
      <c r="H4" s="270" t="s">
        <v>168</v>
      </c>
      <c r="I4" s="270" t="s">
        <v>169</v>
      </c>
      <c r="M4" s="261"/>
      <c r="N4" s="262"/>
    </row>
    <row r="5" spans="1:14" ht="73.5" customHeight="1" x14ac:dyDescent="0.25">
      <c r="A5" s="561"/>
      <c r="B5" s="565"/>
      <c r="C5" s="566"/>
      <c r="D5" s="269"/>
      <c r="E5" s="567"/>
      <c r="F5" s="565"/>
      <c r="G5" s="264" t="s">
        <v>107</v>
      </c>
      <c r="H5" s="260" t="s">
        <v>170</v>
      </c>
      <c r="I5" s="260" t="s">
        <v>171</v>
      </c>
      <c r="M5" s="261"/>
      <c r="N5" s="262"/>
    </row>
    <row r="6" spans="1:14" ht="59.25" customHeight="1" x14ac:dyDescent="0.25">
      <c r="A6" s="561"/>
      <c r="B6" s="565"/>
      <c r="C6" s="566"/>
      <c r="D6" s="269"/>
      <c r="E6" s="567"/>
      <c r="F6" s="565"/>
      <c r="G6" s="264" t="s">
        <v>110</v>
      </c>
      <c r="H6" s="260" t="s">
        <v>172</v>
      </c>
      <c r="I6" s="260" t="s">
        <v>173</v>
      </c>
      <c r="K6" s="66"/>
      <c r="M6" s="261"/>
      <c r="N6" s="262"/>
    </row>
    <row r="7" spans="1:14" ht="66" customHeight="1" x14ac:dyDescent="0.25">
      <c r="A7" s="561" t="s">
        <v>39</v>
      </c>
      <c r="B7" s="559" t="s">
        <v>29</v>
      </c>
      <c r="C7" s="562">
        <v>1222973615</v>
      </c>
      <c r="D7" s="563">
        <f>C7</f>
        <v>1222973615</v>
      </c>
      <c r="E7" s="564">
        <f>(C7/C12)*1</f>
        <v>0.14197628202093748</v>
      </c>
      <c r="F7" s="559">
        <v>1</v>
      </c>
      <c r="G7" s="559" t="s">
        <v>112</v>
      </c>
      <c r="H7" s="560" t="s">
        <v>174</v>
      </c>
      <c r="I7" s="260" t="s">
        <v>175</v>
      </c>
      <c r="M7" s="261"/>
      <c r="N7" s="262"/>
    </row>
    <row r="8" spans="1:14" ht="77.25" customHeight="1" x14ac:dyDescent="0.25">
      <c r="A8" s="561"/>
      <c r="B8" s="559"/>
      <c r="C8" s="562"/>
      <c r="D8" s="563"/>
      <c r="E8" s="564"/>
      <c r="F8" s="559"/>
      <c r="G8" s="559"/>
      <c r="H8" s="560"/>
      <c r="I8" s="260" t="s">
        <v>176</v>
      </c>
      <c r="N8" s="262"/>
    </row>
    <row r="9" spans="1:14" ht="86.25" customHeight="1" x14ac:dyDescent="0.25">
      <c r="A9" s="561" t="s">
        <v>40</v>
      </c>
      <c r="B9" s="559" t="s">
        <v>29</v>
      </c>
      <c r="C9" s="562">
        <v>296994259</v>
      </c>
      <c r="D9" s="563">
        <v>296994259</v>
      </c>
      <c r="E9" s="564">
        <f>(C9/C12)*1</f>
        <v>3.447837316946805E-2</v>
      </c>
      <c r="F9" s="559" t="s">
        <v>42</v>
      </c>
      <c r="G9" s="559" t="s">
        <v>42</v>
      </c>
      <c r="H9" s="260" t="s">
        <v>177</v>
      </c>
      <c r="I9" s="260" t="s">
        <v>178</v>
      </c>
      <c r="M9" s="261"/>
      <c r="N9" s="262"/>
    </row>
    <row r="10" spans="1:14" ht="60" customHeight="1" x14ac:dyDescent="0.25">
      <c r="A10" s="561"/>
      <c r="B10" s="559"/>
      <c r="C10" s="562"/>
      <c r="D10" s="563"/>
      <c r="E10" s="564"/>
      <c r="F10" s="559"/>
      <c r="G10" s="559"/>
      <c r="H10" s="260" t="s">
        <v>179</v>
      </c>
      <c r="I10" s="260" t="s">
        <v>178</v>
      </c>
      <c r="M10" s="261"/>
      <c r="N10" s="262"/>
    </row>
    <row r="11" spans="1:14" ht="60" x14ac:dyDescent="0.25">
      <c r="A11" s="561"/>
      <c r="B11" s="559"/>
      <c r="C11" s="562"/>
      <c r="D11" s="563"/>
      <c r="E11" s="564"/>
      <c r="F11" s="559"/>
      <c r="G11" s="559"/>
      <c r="H11" s="260" t="s">
        <v>180</v>
      </c>
      <c r="I11" s="260" t="s">
        <v>178</v>
      </c>
    </row>
    <row r="12" spans="1:14" ht="29.25" customHeight="1" x14ac:dyDescent="0.25">
      <c r="A12" s="271" t="s">
        <v>181</v>
      </c>
      <c r="B12" s="271" t="s">
        <v>42</v>
      </c>
      <c r="C12" s="272">
        <f>SUM(C2:C9)</f>
        <v>8613929014</v>
      </c>
      <c r="D12" s="273">
        <f>SUM(D2:D9)</f>
        <v>6413050612</v>
      </c>
      <c r="E12" s="274">
        <f>SUM(E2:E9)</f>
        <v>0.99999999999999989</v>
      </c>
      <c r="F12" s="271" t="s">
        <v>42</v>
      </c>
      <c r="G12" s="271" t="s">
        <v>42</v>
      </c>
      <c r="H12" s="275" t="s">
        <v>42</v>
      </c>
      <c r="I12" s="275" t="s">
        <v>42</v>
      </c>
    </row>
  </sheetData>
  <mergeCells count="20">
    <mergeCell ref="A4:A6"/>
    <mergeCell ref="B4:B6"/>
    <mergeCell ref="C4:C6"/>
    <mergeCell ref="E4:E6"/>
    <mergeCell ref="F4:F6"/>
    <mergeCell ref="F7:F8"/>
    <mergeCell ref="G7:G8"/>
    <mergeCell ref="H7:H8"/>
    <mergeCell ref="A9:A11"/>
    <mergeCell ref="B9:B11"/>
    <mergeCell ref="C9:C11"/>
    <mergeCell ref="D9:D11"/>
    <mergeCell ref="E9:E11"/>
    <mergeCell ref="F9:F11"/>
    <mergeCell ref="G9:G11"/>
    <mergeCell ref="A7:A8"/>
    <mergeCell ref="B7:B8"/>
    <mergeCell ref="C7:C8"/>
    <mergeCell ref="D7:D8"/>
    <mergeCell ref="E7:E8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J121"/>
  <sheetViews>
    <sheetView tabSelected="1" topLeftCell="A67" zoomScale="80" zoomScaleNormal="80" workbookViewId="0">
      <selection activeCell="I119" sqref="I119"/>
    </sheetView>
  </sheetViews>
  <sheetFormatPr defaultRowHeight="15" x14ac:dyDescent="0.25"/>
  <cols>
    <col min="1" max="1" width="19.42578125" style="276"/>
    <col min="2" max="2" width="9.140625" style="276"/>
    <col min="3" max="3" width="21.7109375" style="276" customWidth="1"/>
    <col min="4" max="4" width="17.7109375" style="276"/>
    <col min="5" max="5" width="10.85546875" style="276" bestFit="1" customWidth="1"/>
    <col min="6" max="6" width="20.140625" style="276"/>
    <col min="7" max="7" width="9.140625" style="276"/>
    <col min="8" max="8" width="13.5703125" style="276"/>
    <col min="9" max="9" width="16.5703125" style="276"/>
    <col min="10" max="10" width="11.42578125" style="276"/>
    <col min="11" max="13" width="9.140625" style="276"/>
    <col min="14" max="14" width="16.42578125" style="276" customWidth="1"/>
    <col min="15" max="15" width="17.28515625" style="276" customWidth="1"/>
    <col min="16" max="16" width="9.140625" style="276"/>
    <col min="17" max="17" width="21.5703125" style="410" customWidth="1"/>
    <col min="18" max="18" width="13.42578125" style="276"/>
    <col min="19" max="19" width="11.42578125" style="276"/>
    <col min="20" max="20" width="9.140625" style="276"/>
    <col min="21" max="22" width="0" style="276" hidden="1"/>
    <col min="23" max="23" width="14.85546875" style="276" hidden="1" customWidth="1"/>
    <col min="24" max="25" width="0" style="276" hidden="1" customWidth="1"/>
    <col min="26" max="26" width="17.7109375" style="276" hidden="1" customWidth="1"/>
    <col min="27" max="27" width="13.5703125" style="276" bestFit="1" customWidth="1"/>
    <col min="28" max="1023" width="9.140625" style="276"/>
  </cols>
  <sheetData>
    <row r="1" spans="1:1024" x14ac:dyDescent="0.25">
      <c r="A1" s="277" t="s">
        <v>182</v>
      </c>
      <c r="B1" s="278"/>
      <c r="C1"/>
      <c r="D1"/>
      <c r="E1"/>
      <c r="F1"/>
      <c r="G1"/>
      <c r="H1"/>
      <c r="I1"/>
      <c r="J1"/>
      <c r="K1"/>
      <c r="L1"/>
      <c r="M1"/>
      <c r="N1"/>
      <c r="O1"/>
      <c r="P1"/>
      <c r="Q1" s="40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x14ac:dyDescent="0.25">
      <c r="A2" s="277" t="s">
        <v>183</v>
      </c>
      <c r="B2" s="278"/>
      <c r="C2"/>
      <c r="D2"/>
      <c r="E2"/>
      <c r="F2"/>
      <c r="G2"/>
      <c r="H2"/>
      <c r="I2"/>
      <c r="J2"/>
      <c r="K2"/>
      <c r="L2"/>
      <c r="M2"/>
      <c r="N2"/>
      <c r="O2"/>
      <c r="P2"/>
      <c r="Q2" s="40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66.75" customHeight="1" x14ac:dyDescent="0.25">
      <c r="A3" s="585"/>
      <c r="B3" s="586" t="s">
        <v>87</v>
      </c>
      <c r="C3" s="586" t="s">
        <v>184</v>
      </c>
      <c r="D3" s="572" t="s">
        <v>185</v>
      </c>
      <c r="E3" s="572"/>
      <c r="F3" s="572"/>
      <c r="G3" s="572"/>
      <c r="H3" s="421" t="s">
        <v>186</v>
      </c>
      <c r="I3" s="587" t="s">
        <v>187</v>
      </c>
      <c r="J3" s="587"/>
      <c r="K3" s="587"/>
      <c r="L3" s="587"/>
      <c r="M3" s="587"/>
      <c r="N3" s="588" t="s">
        <v>188</v>
      </c>
      <c r="O3" s="582" t="s">
        <v>189</v>
      </c>
      <c r="P3" s="582" t="s">
        <v>190</v>
      </c>
      <c r="Q3" s="422" t="s">
        <v>191</v>
      </c>
      <c r="R3" s="423" t="s">
        <v>14</v>
      </c>
      <c r="S3" s="572" t="s">
        <v>192</v>
      </c>
      <c r="T3" s="582" t="s">
        <v>193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69" x14ac:dyDescent="0.25">
      <c r="A4" s="585"/>
      <c r="B4" s="586"/>
      <c r="C4" s="586"/>
      <c r="D4" s="424" t="s">
        <v>194</v>
      </c>
      <c r="E4" s="425" t="s">
        <v>195</v>
      </c>
      <c r="F4" s="425" t="s">
        <v>29</v>
      </c>
      <c r="G4" s="426" t="s">
        <v>196</v>
      </c>
      <c r="H4" s="427" t="s">
        <v>194</v>
      </c>
      <c r="I4" s="428" t="s">
        <v>194</v>
      </c>
      <c r="J4" s="425" t="s">
        <v>197</v>
      </c>
      <c r="K4" s="425" t="s">
        <v>198</v>
      </c>
      <c r="L4" s="429" t="s">
        <v>199</v>
      </c>
      <c r="M4" s="430" t="s">
        <v>200</v>
      </c>
      <c r="N4" s="588"/>
      <c r="O4" s="582"/>
      <c r="P4" s="582"/>
      <c r="Q4" s="431" t="s">
        <v>201</v>
      </c>
      <c r="R4" s="424" t="s">
        <v>202</v>
      </c>
      <c r="S4" s="572"/>
      <c r="T4" s="582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3.5" customHeight="1" x14ac:dyDescent="0.25">
      <c r="A5" s="279"/>
      <c r="B5" s="586"/>
      <c r="C5" s="586"/>
      <c r="D5" s="432" t="s">
        <v>203</v>
      </c>
      <c r="E5" s="433" t="s">
        <v>204</v>
      </c>
      <c r="F5" s="433" t="s">
        <v>205</v>
      </c>
      <c r="G5" s="434" t="s">
        <v>206</v>
      </c>
      <c r="H5" s="435" t="s">
        <v>207</v>
      </c>
      <c r="I5" s="436" t="s">
        <v>208</v>
      </c>
      <c r="J5" s="433" t="s">
        <v>209</v>
      </c>
      <c r="K5" s="433" t="s">
        <v>210</v>
      </c>
      <c r="L5" s="437" t="s">
        <v>211</v>
      </c>
      <c r="M5" s="438" t="s">
        <v>212</v>
      </c>
      <c r="N5" s="439" t="s">
        <v>213</v>
      </c>
      <c r="O5" s="440" t="s">
        <v>214</v>
      </c>
      <c r="P5" s="440" t="s">
        <v>215</v>
      </c>
      <c r="Q5" s="441" t="s">
        <v>216</v>
      </c>
      <c r="R5" s="432" t="s">
        <v>217</v>
      </c>
      <c r="S5" s="440" t="s">
        <v>218</v>
      </c>
      <c r="T5" s="440" t="s">
        <v>219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3.5" customHeight="1" x14ac:dyDescent="0.25">
      <c r="A6" s="279"/>
      <c r="B6" s="586"/>
      <c r="C6" s="586"/>
      <c r="D6" s="442" t="s">
        <v>220</v>
      </c>
      <c r="E6" s="443"/>
      <c r="F6" s="443"/>
      <c r="G6" s="444"/>
      <c r="H6" s="445" t="s">
        <v>221</v>
      </c>
      <c r="I6" s="446" t="s">
        <v>222</v>
      </c>
      <c r="J6" s="443"/>
      <c r="K6" s="443"/>
      <c r="L6" s="447"/>
      <c r="M6" s="448"/>
      <c r="N6" s="449"/>
      <c r="O6" s="450" t="s">
        <v>223</v>
      </c>
      <c r="P6" s="450"/>
      <c r="Q6" s="451" t="s">
        <v>224</v>
      </c>
      <c r="R6" s="442"/>
      <c r="S6" s="450" t="s">
        <v>225</v>
      </c>
      <c r="T6" s="45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24.75" customHeight="1" x14ac:dyDescent="0.25">
      <c r="A7" s="571" t="s">
        <v>226</v>
      </c>
      <c r="B7" s="570" t="s">
        <v>227</v>
      </c>
      <c r="C7" s="452" t="s">
        <v>228</v>
      </c>
      <c r="D7" s="280">
        <f>SUM(D9,D15,D17)</f>
        <v>3479741046</v>
      </c>
      <c r="E7" s="281">
        <v>0</v>
      </c>
      <c r="F7" s="281">
        <f>SUM(F9,F15,F17)</f>
        <v>3479741045.7569799</v>
      </c>
      <c r="G7" s="282">
        <v>0</v>
      </c>
      <c r="H7" s="283">
        <f>SUM(I7+N7)</f>
        <v>2191541077.2684779</v>
      </c>
      <c r="I7" s="284">
        <f t="shared" ref="I7:I22" si="0">J7+K7+L7+M7</f>
        <v>0</v>
      </c>
      <c r="J7" s="285">
        <v>0</v>
      </c>
      <c r="K7" s="285">
        <v>0</v>
      </c>
      <c r="L7" s="286">
        <v>0</v>
      </c>
      <c r="M7" s="402">
        <v>0</v>
      </c>
      <c r="N7" s="296">
        <f>SUM(N9+N15+N17)</f>
        <v>2191541077.2684779</v>
      </c>
      <c r="O7" s="289">
        <f t="shared" ref="O7:O22" si="1">D7+H7</f>
        <v>5671282123.2684784</v>
      </c>
      <c r="P7" s="405"/>
      <c r="Q7" s="407">
        <f>D7-R7</f>
        <v>3295370500</v>
      </c>
      <c r="R7" s="280">
        <v>184370546</v>
      </c>
      <c r="S7" s="290">
        <f>(R7/D7)*100</f>
        <v>5.2983984601939254</v>
      </c>
      <c r="T7" s="405">
        <v>0</v>
      </c>
      <c r="U7"/>
      <c r="V7"/>
      <c r="W7"/>
      <c r="X7" s="6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s="293" customFormat="1" ht="24.75" customHeight="1" x14ac:dyDescent="0.25">
      <c r="A8" s="571"/>
      <c r="B8" s="570"/>
      <c r="C8" s="453" t="s">
        <v>229</v>
      </c>
      <c r="D8" s="280">
        <f>SUM(D10,D16,D18)</f>
        <v>370190132</v>
      </c>
      <c r="E8" s="288">
        <v>0</v>
      </c>
      <c r="F8" s="288">
        <v>370190132</v>
      </c>
      <c r="G8" s="282">
        <v>0</v>
      </c>
      <c r="H8" s="283">
        <f t="shared" ref="H8:H71" si="2">SUM(I8+N8)</f>
        <v>225795060.04398379</v>
      </c>
      <c r="I8" s="284">
        <f t="shared" si="0"/>
        <v>0</v>
      </c>
      <c r="J8" s="285">
        <v>0</v>
      </c>
      <c r="K8" s="285">
        <v>0</v>
      </c>
      <c r="L8" s="286">
        <v>0</v>
      </c>
      <c r="M8" s="465">
        <v>0</v>
      </c>
      <c r="N8" s="288">
        <f>SUM(N10+N16+N18)</f>
        <v>225795060.04398379</v>
      </c>
      <c r="O8" s="289">
        <f t="shared" si="1"/>
        <v>595985192.04398382</v>
      </c>
      <c r="P8" s="292"/>
      <c r="Q8" s="408">
        <f>D8-R8</f>
        <v>350415185</v>
      </c>
      <c r="R8" s="291">
        <v>19774947</v>
      </c>
      <c r="S8" s="290">
        <f>(R8/D8)*100</f>
        <v>5.3418352599415044</v>
      </c>
      <c r="T8" s="292">
        <v>0</v>
      </c>
      <c r="X8" s="299"/>
      <c r="AA8" s="299"/>
      <c r="AMJ8"/>
    </row>
    <row r="9" spans="1:1024" s="293" customFormat="1" ht="24.75" customHeight="1" x14ac:dyDescent="0.25">
      <c r="A9" s="583" t="s">
        <v>230</v>
      </c>
      <c r="B9" s="570" t="s">
        <v>227</v>
      </c>
      <c r="C9" s="454" t="s">
        <v>228</v>
      </c>
      <c r="D9" s="294">
        <f>D11+D13</f>
        <v>2147297596</v>
      </c>
      <c r="E9" s="281">
        <v>0</v>
      </c>
      <c r="F9" s="294">
        <f>F11+F13</f>
        <v>2147297595.7569799</v>
      </c>
      <c r="G9" s="282">
        <v>0</v>
      </c>
      <c r="H9" s="283">
        <f t="shared" si="2"/>
        <v>1404515164.029089</v>
      </c>
      <c r="I9" s="284">
        <f t="shared" si="0"/>
        <v>0</v>
      </c>
      <c r="J9" s="285">
        <v>0</v>
      </c>
      <c r="K9" s="285">
        <v>0</v>
      </c>
      <c r="L9" s="286">
        <v>0</v>
      </c>
      <c r="M9" s="287">
        <v>0</v>
      </c>
      <c r="N9" s="288">
        <f>SUM(N11+N13)</f>
        <v>1404515164.029089</v>
      </c>
      <c r="O9" s="289">
        <f t="shared" si="1"/>
        <v>3551812760.029089</v>
      </c>
      <c r="P9" s="292"/>
      <c r="Q9" s="408">
        <f>(D9-((D9*S7))/100)</f>
        <v>2033525213.2377548</v>
      </c>
      <c r="R9" s="411"/>
      <c r="S9" s="412"/>
      <c r="T9" s="292">
        <v>0</v>
      </c>
      <c r="U9" s="295">
        <f>D9/U11</f>
        <v>0.89722379843241151</v>
      </c>
      <c r="V9" s="293">
        <f>V11*U9</f>
        <v>935493929.82452011</v>
      </c>
      <c r="X9" s="299"/>
      <c r="AMJ9"/>
    </row>
    <row r="10" spans="1:1024" ht="24.75" customHeight="1" x14ac:dyDescent="0.25">
      <c r="A10" s="583"/>
      <c r="B10" s="570"/>
      <c r="C10" s="455" t="s">
        <v>229</v>
      </c>
      <c r="D10" s="399">
        <f>D12+D14</f>
        <v>245971062</v>
      </c>
      <c r="E10" s="464">
        <v>0</v>
      </c>
      <c r="F10" s="399">
        <f>F12+F14</f>
        <v>245971062.24302399</v>
      </c>
      <c r="G10" s="480">
        <v>0</v>
      </c>
      <c r="H10" s="476">
        <f>SUM(I10+N10)</f>
        <v>156305805.450142</v>
      </c>
      <c r="I10" s="481">
        <f t="shared" si="0"/>
        <v>0</v>
      </c>
      <c r="J10" s="482">
        <v>0</v>
      </c>
      <c r="K10" s="482">
        <v>0</v>
      </c>
      <c r="L10" s="483">
        <v>0</v>
      </c>
      <c r="M10" s="484">
        <v>0</v>
      </c>
      <c r="N10" s="464">
        <f>SUM(N12+N14)</f>
        <v>156305805.450142</v>
      </c>
      <c r="O10" s="485">
        <f t="shared" si="1"/>
        <v>402276867.45014203</v>
      </c>
      <c r="P10" s="486"/>
      <c r="Q10" s="408">
        <f>(D10-((D10*S8))/100)</f>
        <v>232831693.08083141</v>
      </c>
      <c r="R10" s="413"/>
      <c r="S10" s="414"/>
      <c r="T10" s="297">
        <v>0</v>
      </c>
      <c r="U10" s="295">
        <f>1-U9</f>
        <v>0.10277620156758849</v>
      </c>
      <c r="V10" s="293">
        <f>V11*U10</f>
        <v>107160011.65470996</v>
      </c>
      <c r="W10"/>
      <c r="X10"/>
      <c r="Y10"/>
      <c r="Z10"/>
      <c r="AA10" s="67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s="293" customFormat="1" ht="24.75" customHeight="1" x14ac:dyDescent="0.25">
      <c r="A11" s="584" t="s">
        <v>231</v>
      </c>
      <c r="B11" s="570" t="s">
        <v>227</v>
      </c>
      <c r="C11" s="454" t="s">
        <v>228</v>
      </c>
      <c r="D11" s="409">
        <v>1690981066</v>
      </c>
      <c r="E11" s="487">
        <v>0</v>
      </c>
      <c r="F11" s="409">
        <v>1690981065.7569799</v>
      </c>
      <c r="G11" s="480">
        <v>0</v>
      </c>
      <c r="H11" s="476">
        <f t="shared" si="2"/>
        <v>942369975.02908897</v>
      </c>
      <c r="I11" s="481">
        <f t="shared" si="0"/>
        <v>0</v>
      </c>
      <c r="J11" s="482">
        <v>0</v>
      </c>
      <c r="K11" s="482">
        <v>0</v>
      </c>
      <c r="L11" s="483">
        <v>0</v>
      </c>
      <c r="M11" s="484">
        <v>0</v>
      </c>
      <c r="N11" s="464">
        <v>942369975.02908897</v>
      </c>
      <c r="O11" s="485">
        <f t="shared" si="1"/>
        <v>2633351041.029089</v>
      </c>
      <c r="P11" s="488"/>
      <c r="Q11" s="408">
        <f>(D11-((D11*S7))/100)</f>
        <v>1601386151.2368851</v>
      </c>
      <c r="R11" s="415"/>
      <c r="S11" s="416"/>
      <c r="T11" s="404">
        <v>0</v>
      </c>
      <c r="U11" s="299">
        <f>D9+D10</f>
        <v>2393268658</v>
      </c>
      <c r="V11" s="293">
        <v>1042653941.47923</v>
      </c>
      <c r="X11" s="299"/>
      <c r="AMJ11"/>
    </row>
    <row r="12" spans="1:1024" s="293" customFormat="1" ht="24.75" customHeight="1" x14ac:dyDescent="0.25">
      <c r="A12" s="584"/>
      <c r="B12" s="570"/>
      <c r="C12" s="455" t="s">
        <v>229</v>
      </c>
      <c r="D12" s="409">
        <v>188977497</v>
      </c>
      <c r="E12" s="487">
        <v>0</v>
      </c>
      <c r="F12" s="409">
        <v>188977497.24302399</v>
      </c>
      <c r="G12" s="480">
        <v>0</v>
      </c>
      <c r="H12" s="476">
        <f t="shared" si="2"/>
        <v>100283966.450142</v>
      </c>
      <c r="I12" s="481">
        <f t="shared" si="0"/>
        <v>0</v>
      </c>
      <c r="J12" s="482">
        <v>0</v>
      </c>
      <c r="K12" s="482">
        <v>0</v>
      </c>
      <c r="L12" s="483">
        <v>0</v>
      </c>
      <c r="M12" s="484">
        <v>0</v>
      </c>
      <c r="N12" s="464">
        <v>100283966.450142</v>
      </c>
      <c r="O12" s="485">
        <f t="shared" si="1"/>
        <v>289261463.45014203</v>
      </c>
      <c r="P12" s="489"/>
      <c r="Q12" s="408">
        <f>(D12-((D12*S8))/100)</f>
        <v>178882630.4318991</v>
      </c>
      <c r="R12" s="417"/>
      <c r="S12" s="418"/>
      <c r="T12" s="300">
        <v>0</v>
      </c>
      <c r="V12" s="293">
        <f>V14*U9</f>
        <v>554097568.65937722</v>
      </c>
      <c r="W12" s="299">
        <f>SUM(Q11:Q12)</f>
        <v>1780268781.6687841</v>
      </c>
      <c r="X12" s="299">
        <f>SUM(Q11:Q12)</f>
        <v>1780268781.6687841</v>
      </c>
      <c r="AA12" s="299"/>
      <c r="AMJ12"/>
    </row>
    <row r="13" spans="1:1024" s="293" customFormat="1" ht="24.75" customHeight="1" x14ac:dyDescent="0.25">
      <c r="A13" s="574" t="s">
        <v>232</v>
      </c>
      <c r="B13" s="570" t="s">
        <v>227</v>
      </c>
      <c r="C13" s="455" t="s">
        <v>228</v>
      </c>
      <c r="D13" s="399">
        <v>456316530</v>
      </c>
      <c r="E13" s="487">
        <v>0</v>
      </c>
      <c r="F13" s="399">
        <v>456316530</v>
      </c>
      <c r="G13" s="480">
        <v>0</v>
      </c>
      <c r="H13" s="476">
        <f t="shared" si="2"/>
        <v>462145189</v>
      </c>
      <c r="I13" s="481">
        <f t="shared" si="0"/>
        <v>0</v>
      </c>
      <c r="J13" s="482">
        <v>0</v>
      </c>
      <c r="K13" s="482">
        <v>0</v>
      </c>
      <c r="L13" s="483">
        <v>0</v>
      </c>
      <c r="M13" s="484">
        <v>0</v>
      </c>
      <c r="N13" s="476">
        <v>462145189</v>
      </c>
      <c r="O13" s="485">
        <f t="shared" si="1"/>
        <v>918461719</v>
      </c>
      <c r="P13" s="489"/>
      <c r="Q13" s="408">
        <f>(D13-((D13*S7))/100)</f>
        <v>432139062.00086963</v>
      </c>
      <c r="R13" s="417"/>
      <c r="S13" s="418"/>
      <c r="T13" s="300">
        <v>0</v>
      </c>
      <c r="V13" s="293">
        <f>V14*U10</f>
        <v>63471391.980622761</v>
      </c>
      <c r="AMJ13"/>
    </row>
    <row r="14" spans="1:1024" ht="24.75" customHeight="1" x14ac:dyDescent="0.25">
      <c r="A14" s="574"/>
      <c r="B14" s="570"/>
      <c r="C14" s="455" t="s">
        <v>229</v>
      </c>
      <c r="D14" s="399">
        <v>56993565</v>
      </c>
      <c r="E14" s="464">
        <v>0</v>
      </c>
      <c r="F14" s="399">
        <v>56993565</v>
      </c>
      <c r="G14" s="480">
        <v>0</v>
      </c>
      <c r="H14" s="476">
        <f t="shared" si="2"/>
        <v>56021839</v>
      </c>
      <c r="I14" s="481">
        <f t="shared" si="0"/>
        <v>0</v>
      </c>
      <c r="J14" s="482">
        <v>0</v>
      </c>
      <c r="K14" s="482">
        <v>0</v>
      </c>
      <c r="L14" s="483">
        <v>0</v>
      </c>
      <c r="M14" s="484">
        <v>0</v>
      </c>
      <c r="N14" s="476">
        <v>56021839</v>
      </c>
      <c r="O14" s="485">
        <f t="shared" si="1"/>
        <v>113015404</v>
      </c>
      <c r="P14" s="489"/>
      <c r="Q14" s="408">
        <f>(D14-((D14*S8))/100)</f>
        <v>53949062.648932323</v>
      </c>
      <c r="R14" s="417"/>
      <c r="S14" s="418"/>
      <c r="T14" s="300">
        <v>0</v>
      </c>
      <c r="U14"/>
      <c r="V14" s="293">
        <v>617568960.63999999</v>
      </c>
      <c r="W14" s="67">
        <f>SUM(Q13:Q14)</f>
        <v>486088124.64980197</v>
      </c>
      <c r="X14"/>
      <c r="Y14"/>
      <c r="Z14"/>
      <c r="AA14" s="67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s="293" customFormat="1" ht="24.75" customHeight="1" x14ac:dyDescent="0.25">
      <c r="A15" s="580" t="s">
        <v>233</v>
      </c>
      <c r="B15" s="570" t="s">
        <v>227</v>
      </c>
      <c r="C15" s="454" t="s">
        <v>228</v>
      </c>
      <c r="D15" s="399">
        <v>787120174</v>
      </c>
      <c r="E15" s="487">
        <v>0</v>
      </c>
      <c r="F15" s="399">
        <v>787120174</v>
      </c>
      <c r="G15" s="480">
        <v>0</v>
      </c>
      <c r="H15" s="476">
        <f t="shared" si="2"/>
        <v>432805475.239389</v>
      </c>
      <c r="I15" s="481">
        <f t="shared" si="0"/>
        <v>0</v>
      </c>
      <c r="J15" s="482">
        <v>0</v>
      </c>
      <c r="K15" s="482">
        <v>0</v>
      </c>
      <c r="L15" s="483">
        <v>0</v>
      </c>
      <c r="M15" s="484">
        <v>0</v>
      </c>
      <c r="N15" s="464">
        <v>432805475.239389</v>
      </c>
      <c r="O15" s="485">
        <f t="shared" si="1"/>
        <v>1219925649.2393889</v>
      </c>
      <c r="P15" s="488"/>
      <c r="Q15" s="408">
        <f>(D15-((D15*S7))/100)</f>
        <v>745415410.82090831</v>
      </c>
      <c r="R15" s="415"/>
      <c r="S15" s="416"/>
      <c r="T15" s="404">
        <v>0</v>
      </c>
      <c r="V15" s="293">
        <f>V17*U9</f>
        <v>429647490.48670334</v>
      </c>
      <c r="AMJ15"/>
    </row>
    <row r="16" spans="1:1024" s="293" customFormat="1" ht="24.75" customHeight="1" x14ac:dyDescent="0.25">
      <c r="A16" s="580"/>
      <c r="B16" s="570"/>
      <c r="C16" s="456" t="s">
        <v>229</v>
      </c>
      <c r="D16" s="399">
        <v>87864185</v>
      </c>
      <c r="E16" s="464">
        <v>0</v>
      </c>
      <c r="F16" s="399">
        <v>87864185</v>
      </c>
      <c r="G16" s="480">
        <v>0</v>
      </c>
      <c r="H16" s="476">
        <f>SUM(I16+N16)</f>
        <v>46057759.593841799</v>
      </c>
      <c r="I16" s="481">
        <f t="shared" si="0"/>
        <v>0</v>
      </c>
      <c r="J16" s="482">
        <v>0</v>
      </c>
      <c r="K16" s="482">
        <v>0</v>
      </c>
      <c r="L16" s="483">
        <v>0</v>
      </c>
      <c r="M16" s="484">
        <v>0</v>
      </c>
      <c r="N16" s="464">
        <v>46057759.593841799</v>
      </c>
      <c r="O16" s="485">
        <f t="shared" si="1"/>
        <v>133921944.59384179</v>
      </c>
      <c r="P16" s="486"/>
      <c r="Q16" s="408">
        <f>(D16-((D16*S8))/100)</f>
        <v>83170624.984809771</v>
      </c>
      <c r="R16" s="413"/>
      <c r="S16" s="414"/>
      <c r="T16" s="297">
        <v>0</v>
      </c>
      <c r="V16" s="293">
        <f>V17*U10</f>
        <v>49215744.346527606</v>
      </c>
      <c r="W16" s="299">
        <f>SUM(Q15:Q16)</f>
        <v>828586035.80571806</v>
      </c>
      <c r="AA16" s="299"/>
      <c r="AMJ16"/>
    </row>
    <row r="17" spans="1:1024" s="293" customFormat="1" ht="24.75" customHeight="1" x14ac:dyDescent="0.25">
      <c r="A17" s="574" t="s">
        <v>234</v>
      </c>
      <c r="B17" s="570" t="s">
        <v>227</v>
      </c>
      <c r="C17" s="403" t="s">
        <v>228</v>
      </c>
      <c r="D17" s="399">
        <f>D19+D21</f>
        <v>545323276</v>
      </c>
      <c r="E17" s="487">
        <v>0</v>
      </c>
      <c r="F17" s="399">
        <f>F19+F21</f>
        <v>545323276</v>
      </c>
      <c r="G17" s="480">
        <v>0</v>
      </c>
      <c r="H17" s="476">
        <f t="shared" si="2"/>
        <v>354220438</v>
      </c>
      <c r="I17" s="420">
        <f t="shared" si="0"/>
        <v>0</v>
      </c>
      <c r="J17" s="490">
        <v>0</v>
      </c>
      <c r="K17" s="490">
        <v>0</v>
      </c>
      <c r="L17" s="490">
        <v>0</v>
      </c>
      <c r="M17" s="490">
        <v>0</v>
      </c>
      <c r="N17" s="399">
        <f>N19+N21</f>
        <v>354220438</v>
      </c>
      <c r="O17" s="399">
        <f t="shared" si="1"/>
        <v>899543714</v>
      </c>
      <c r="P17" s="420"/>
      <c r="Q17" s="408">
        <f>(D17-((D17*S7))/100)</f>
        <v>516429875.94133693</v>
      </c>
      <c r="R17" s="419"/>
      <c r="S17" s="419"/>
      <c r="T17" s="400">
        <v>0</v>
      </c>
      <c r="V17" s="293">
        <v>478863234.83323097</v>
      </c>
      <c r="AMJ17"/>
    </row>
    <row r="18" spans="1:1024" s="293" customFormat="1" ht="24.75" customHeight="1" x14ac:dyDescent="0.25">
      <c r="A18" s="574"/>
      <c r="B18" s="570"/>
      <c r="C18" s="403" t="s">
        <v>229</v>
      </c>
      <c r="D18" s="399">
        <f>D20+D22</f>
        <v>36354885</v>
      </c>
      <c r="E18" s="464">
        <v>0</v>
      </c>
      <c r="F18" s="399">
        <f>F20+F22</f>
        <v>36354885</v>
      </c>
      <c r="G18" s="480">
        <v>0</v>
      </c>
      <c r="H18" s="476">
        <f t="shared" si="2"/>
        <v>23431495</v>
      </c>
      <c r="I18" s="420">
        <f t="shared" si="0"/>
        <v>0</v>
      </c>
      <c r="J18" s="490">
        <v>0</v>
      </c>
      <c r="K18" s="490">
        <v>0</v>
      </c>
      <c r="L18" s="490">
        <v>0</v>
      </c>
      <c r="M18" s="490">
        <v>0</v>
      </c>
      <c r="N18" s="399">
        <f>N20+N22</f>
        <v>23431495</v>
      </c>
      <c r="O18" s="399">
        <f t="shared" si="1"/>
        <v>59786380</v>
      </c>
      <c r="P18" s="420"/>
      <c r="Q18" s="408">
        <f>(D18-((D18*S8))/100)</f>
        <v>34412866.934358813</v>
      </c>
      <c r="R18" s="419"/>
      <c r="S18" s="419"/>
      <c r="T18" s="400">
        <v>0</v>
      </c>
      <c r="V18" s="299"/>
      <c r="AA18" s="299"/>
      <c r="AMJ18"/>
    </row>
    <row r="19" spans="1:1024" s="293" customFormat="1" ht="24.75" customHeight="1" x14ac:dyDescent="0.25">
      <c r="A19" s="401" t="s">
        <v>235</v>
      </c>
      <c r="B19" s="403" t="s">
        <v>227</v>
      </c>
      <c r="C19" s="403" t="s">
        <v>228</v>
      </c>
      <c r="D19" s="399">
        <v>334385776</v>
      </c>
      <c r="E19" s="487">
        <v>0</v>
      </c>
      <c r="F19" s="399">
        <v>334385776</v>
      </c>
      <c r="G19" s="480">
        <v>0</v>
      </c>
      <c r="H19" s="476">
        <f t="shared" si="2"/>
        <v>143282938</v>
      </c>
      <c r="I19" s="420">
        <f t="shared" si="0"/>
        <v>0</v>
      </c>
      <c r="J19" s="490">
        <v>0</v>
      </c>
      <c r="K19" s="490">
        <v>0</v>
      </c>
      <c r="L19" s="490">
        <v>0</v>
      </c>
      <c r="M19" s="490">
        <v>0</v>
      </c>
      <c r="N19" s="399">
        <v>143282938</v>
      </c>
      <c r="O19" s="399">
        <f t="shared" si="1"/>
        <v>477668714</v>
      </c>
      <c r="P19" s="420"/>
      <c r="Q19" s="408">
        <f>(D19-((D19*S7))/100)</f>
        <v>316668685.19330847</v>
      </c>
      <c r="R19" s="419"/>
      <c r="S19" s="419"/>
      <c r="T19" s="297">
        <v>0</v>
      </c>
      <c r="AMJ19"/>
    </row>
    <row r="20" spans="1:1024" s="293" customFormat="1" ht="24.75" customHeight="1" x14ac:dyDescent="0.25">
      <c r="A20" s="401" t="s">
        <v>236</v>
      </c>
      <c r="B20" s="403" t="s">
        <v>227</v>
      </c>
      <c r="C20" s="403" t="s">
        <v>229</v>
      </c>
      <c r="D20" s="399">
        <v>22292385</v>
      </c>
      <c r="E20" s="464">
        <v>0</v>
      </c>
      <c r="F20" s="399">
        <v>22292385</v>
      </c>
      <c r="G20" s="480">
        <v>0</v>
      </c>
      <c r="H20" s="476">
        <f t="shared" si="2"/>
        <v>9368995</v>
      </c>
      <c r="I20" s="420">
        <f t="shared" si="0"/>
        <v>0</v>
      </c>
      <c r="J20" s="490">
        <v>0</v>
      </c>
      <c r="K20" s="490">
        <v>0</v>
      </c>
      <c r="L20" s="490">
        <v>0</v>
      </c>
      <c r="M20" s="490">
        <v>0</v>
      </c>
      <c r="N20" s="399">
        <v>9368995</v>
      </c>
      <c r="O20" s="399">
        <f t="shared" si="1"/>
        <v>31661380</v>
      </c>
      <c r="P20" s="420"/>
      <c r="Q20" s="408">
        <f>(D20-((D20*S8))/100)</f>
        <v>21101562.51778809</v>
      </c>
      <c r="R20" s="419"/>
      <c r="S20" s="419"/>
      <c r="T20" s="400">
        <v>0</v>
      </c>
      <c r="W20" s="301">
        <f>SUM(Q19:Q20)</f>
        <v>337770247.71109658</v>
      </c>
      <c r="AA20" s="299"/>
      <c r="AMJ20"/>
    </row>
    <row r="21" spans="1:1024" s="293" customFormat="1" ht="24.75" customHeight="1" x14ac:dyDescent="0.25">
      <c r="A21" s="401" t="s">
        <v>237</v>
      </c>
      <c r="B21" s="403" t="s">
        <v>227</v>
      </c>
      <c r="C21" s="403" t="s">
        <v>228</v>
      </c>
      <c r="D21" s="399">
        <v>210937500</v>
      </c>
      <c r="E21" s="487">
        <v>0</v>
      </c>
      <c r="F21" s="399">
        <v>210937500</v>
      </c>
      <c r="G21" s="480">
        <v>0</v>
      </c>
      <c r="H21" s="476">
        <f t="shared" si="2"/>
        <v>210937500</v>
      </c>
      <c r="I21" s="420">
        <f t="shared" si="0"/>
        <v>0</v>
      </c>
      <c r="J21" s="490">
        <v>0</v>
      </c>
      <c r="K21" s="490">
        <v>0</v>
      </c>
      <c r="L21" s="490">
        <v>0</v>
      </c>
      <c r="M21" s="490">
        <v>0</v>
      </c>
      <c r="N21" s="399">
        <f>D21/0.5-D21</f>
        <v>210937500</v>
      </c>
      <c r="O21" s="399">
        <f t="shared" si="1"/>
        <v>421875000</v>
      </c>
      <c r="P21" s="420"/>
      <c r="Q21" s="408">
        <f>(D21-((D21*S7))/100)</f>
        <v>199761190.74802843</v>
      </c>
      <c r="R21" s="419"/>
      <c r="S21" s="419"/>
      <c r="T21" s="400">
        <v>0</v>
      </c>
      <c r="U21" s="302"/>
      <c r="W21" s="301"/>
      <c r="AMJ21"/>
    </row>
    <row r="22" spans="1:1024" s="293" customFormat="1" ht="24.75" customHeight="1" x14ac:dyDescent="0.25">
      <c r="A22" s="401" t="s">
        <v>238</v>
      </c>
      <c r="B22" s="403" t="s">
        <v>227</v>
      </c>
      <c r="C22" s="403" t="s">
        <v>229</v>
      </c>
      <c r="D22" s="399">
        <v>14062500</v>
      </c>
      <c r="E22" s="487">
        <v>0</v>
      </c>
      <c r="F22" s="399">
        <v>14062500</v>
      </c>
      <c r="G22" s="480">
        <v>0</v>
      </c>
      <c r="H22" s="476">
        <f>SUM(I22+N22)</f>
        <v>14062500</v>
      </c>
      <c r="I22" s="420">
        <f t="shared" si="0"/>
        <v>0</v>
      </c>
      <c r="J22" s="490">
        <v>0</v>
      </c>
      <c r="K22" s="490">
        <v>0</v>
      </c>
      <c r="L22" s="490">
        <v>0</v>
      </c>
      <c r="M22" s="490">
        <v>0</v>
      </c>
      <c r="N22" s="399">
        <f>D22/0.5-D22</f>
        <v>14062500</v>
      </c>
      <c r="O22" s="399">
        <f t="shared" si="1"/>
        <v>28125000</v>
      </c>
      <c r="P22" s="420"/>
      <c r="Q22" s="408">
        <f>(D22-((D22*S8))/100)</f>
        <v>13311304.416570727</v>
      </c>
      <c r="R22" s="419"/>
      <c r="S22" s="419"/>
      <c r="T22" s="297">
        <v>0</v>
      </c>
      <c r="W22" s="299">
        <f>SUM(Q21:Q22)</f>
        <v>213072495.16459915</v>
      </c>
      <c r="AA22" s="299"/>
      <c r="AMJ22"/>
    </row>
    <row r="23" spans="1:1024" s="293" customFormat="1" ht="37.5" customHeight="1" x14ac:dyDescent="0.25">
      <c r="A23" s="575" t="s">
        <v>239</v>
      </c>
      <c r="B23" s="574" t="s">
        <v>227</v>
      </c>
      <c r="C23" s="401" t="s">
        <v>228</v>
      </c>
      <c r="D23" s="409">
        <v>950515910</v>
      </c>
      <c r="E23" s="409">
        <v>0</v>
      </c>
      <c r="F23" s="409">
        <v>950515910</v>
      </c>
      <c r="G23" s="490">
        <v>0</v>
      </c>
      <c r="H23" s="476">
        <f t="shared" si="2"/>
        <v>351122032.0428623</v>
      </c>
      <c r="I23" s="409">
        <f>SUM(J23:M23)</f>
        <v>5170037.2941176472</v>
      </c>
      <c r="J23" s="409">
        <f>J25+J27+J29+J31+J43</f>
        <v>5170037.2941176472</v>
      </c>
      <c r="K23" s="409">
        <v>0</v>
      </c>
      <c r="L23" s="409">
        <v>0</v>
      </c>
      <c r="M23" s="409">
        <v>0</v>
      </c>
      <c r="N23" s="409">
        <f>N25+N27+N29+N31</f>
        <v>345951994.74874467</v>
      </c>
      <c r="O23" s="409">
        <f>SUM(D23,H23)</f>
        <v>1301637942.0428624</v>
      </c>
      <c r="P23" s="490"/>
      <c r="Q23" s="408">
        <f>(D23-((D23*S23))/100)</f>
        <v>883979797</v>
      </c>
      <c r="R23" s="298">
        <v>66536113</v>
      </c>
      <c r="S23" s="307">
        <f>(R23/D23)*100</f>
        <v>6.9999999263557839</v>
      </c>
      <c r="T23" s="303">
        <v>0</v>
      </c>
      <c r="W23" s="299">
        <f>SUM(I31,I43)</f>
        <v>5170037.2941176472</v>
      </c>
      <c r="X23" s="299"/>
      <c r="AMJ23"/>
    </row>
    <row r="24" spans="1:1024" s="293" customFormat="1" ht="35.25" customHeight="1" x14ac:dyDescent="0.25">
      <c r="A24" s="575"/>
      <c r="B24" s="574"/>
      <c r="C24" s="401" t="s">
        <v>229</v>
      </c>
      <c r="D24" s="409">
        <v>92635650</v>
      </c>
      <c r="E24" s="409">
        <v>0</v>
      </c>
      <c r="F24" s="409">
        <v>92635650</v>
      </c>
      <c r="G24" s="490">
        <v>0</v>
      </c>
      <c r="H24" s="476">
        <f>SUM(I24,N24)</f>
        <v>36774073.821428575</v>
      </c>
      <c r="I24" s="409">
        <f>SUM(J24:M24)</f>
        <v>488281</v>
      </c>
      <c r="J24" s="409">
        <f>J26+J28+J30+J32+J44</f>
        <v>488281</v>
      </c>
      <c r="K24" s="409">
        <v>0</v>
      </c>
      <c r="L24" s="409">
        <v>0</v>
      </c>
      <c r="M24" s="409">
        <v>0</v>
      </c>
      <c r="N24" s="409">
        <f>SUM(N26,N28,N30,N32,N44)</f>
        <v>36285792.821428575</v>
      </c>
      <c r="O24" s="409">
        <f>SUM(D24,H24)</f>
        <v>129409723.82142857</v>
      </c>
      <c r="P24" s="490"/>
      <c r="Q24" s="408">
        <f>(D24-((D24*S23))/100)</f>
        <v>86151154.568220794</v>
      </c>
      <c r="R24" s="298">
        <v>6484494</v>
      </c>
      <c r="S24" s="307">
        <f>(R24/D24)*100</f>
        <v>6.9999983807529826</v>
      </c>
      <c r="T24" s="303">
        <v>0</v>
      </c>
      <c r="W24" s="299">
        <f>I32+I44</f>
        <v>488281</v>
      </c>
      <c r="X24" s="299"/>
      <c r="AA24" s="299"/>
      <c r="AMJ24"/>
    </row>
    <row r="25" spans="1:1024" s="304" customFormat="1" ht="24.75" customHeight="1" x14ac:dyDescent="0.25">
      <c r="A25" s="570" t="s">
        <v>240</v>
      </c>
      <c r="B25" s="581" t="s">
        <v>227</v>
      </c>
      <c r="C25" s="403" t="s">
        <v>228</v>
      </c>
      <c r="D25" s="399">
        <v>526990785.72806299</v>
      </c>
      <c r="E25" s="399">
        <v>0</v>
      </c>
      <c r="F25" s="399">
        <v>526990785.72806299</v>
      </c>
      <c r="G25" s="420">
        <v>0</v>
      </c>
      <c r="H25" s="476">
        <f>SUM(I25+N25)</f>
        <v>225853193.88345557</v>
      </c>
      <c r="I25" s="409">
        <f>SUM(J25:M25)</f>
        <v>0</v>
      </c>
      <c r="J25" s="420">
        <v>0</v>
      </c>
      <c r="K25" s="420">
        <v>0</v>
      </c>
      <c r="L25" s="420">
        <v>0</v>
      </c>
      <c r="M25" s="420">
        <v>0</v>
      </c>
      <c r="N25" s="399">
        <f>(F25*0.3)/0.7</f>
        <v>225853193.88345557</v>
      </c>
      <c r="O25" s="399">
        <f>D25+H25</f>
        <v>752843979.61151862</v>
      </c>
      <c r="P25" s="420"/>
      <c r="Q25" s="408">
        <f>(D25-((D25*S23))/100)</f>
        <v>490101431.11519682</v>
      </c>
      <c r="R25" s="411"/>
      <c r="S25" s="459">
        <v>7</v>
      </c>
      <c r="T25" s="400">
        <v>0</v>
      </c>
      <c r="X25" s="299"/>
      <c r="AMJ25"/>
    </row>
    <row r="26" spans="1:1024" s="304" customFormat="1" ht="24.75" customHeight="1" x14ac:dyDescent="0.25">
      <c r="A26" s="570"/>
      <c r="B26" s="581"/>
      <c r="C26" s="453" t="s">
        <v>229</v>
      </c>
      <c r="D26" s="399">
        <v>56790774.271936998</v>
      </c>
      <c r="E26" s="399">
        <v>0</v>
      </c>
      <c r="F26" s="399">
        <v>56790774.271936998</v>
      </c>
      <c r="G26" s="420">
        <v>0</v>
      </c>
      <c r="H26" s="476">
        <f t="shared" si="2"/>
        <v>24338903</v>
      </c>
      <c r="I26" s="409">
        <f>SUM(J26:M26)</f>
        <v>0</v>
      </c>
      <c r="J26" s="420">
        <v>0</v>
      </c>
      <c r="K26" s="420">
        <v>0</v>
      </c>
      <c r="L26" s="420">
        <v>0</v>
      </c>
      <c r="M26" s="420">
        <v>0</v>
      </c>
      <c r="N26" s="399">
        <v>24338903</v>
      </c>
      <c r="O26" s="399">
        <f>D26+H26</f>
        <v>81129677.271936998</v>
      </c>
      <c r="P26" s="420"/>
      <c r="Q26" s="408">
        <f t="shared" ref="Q26" si="3">(D26-((D26*S25))/100)</f>
        <v>52815420.072901405</v>
      </c>
      <c r="R26" s="413"/>
      <c r="S26" s="459">
        <v>7</v>
      </c>
      <c r="T26" s="400">
        <v>0</v>
      </c>
      <c r="X26" s="397">
        <f>SUM(Q25:Q26)</f>
        <v>542916851.18809819</v>
      </c>
      <c r="AA26" s="397"/>
      <c r="AMJ26"/>
    </row>
    <row r="27" spans="1:1024" s="304" customFormat="1" ht="24.75" customHeight="1" x14ac:dyDescent="0.25">
      <c r="A27" s="570" t="s">
        <v>241</v>
      </c>
      <c r="B27" s="573" t="s">
        <v>227</v>
      </c>
      <c r="C27" s="452" t="s">
        <v>228</v>
      </c>
      <c r="D27" s="399">
        <v>28125000</v>
      </c>
      <c r="E27" s="399">
        <v>0</v>
      </c>
      <c r="F27" s="399">
        <v>28125000</v>
      </c>
      <c r="G27" s="420">
        <v>0</v>
      </c>
      <c r="H27" s="476">
        <f t="shared" si="2"/>
        <v>992647</v>
      </c>
      <c r="I27" s="409">
        <v>0</v>
      </c>
      <c r="J27" s="399">
        <v>0</v>
      </c>
      <c r="K27" s="420">
        <v>0</v>
      </c>
      <c r="L27" s="420">
        <v>0</v>
      </c>
      <c r="M27" s="420">
        <v>0</v>
      </c>
      <c r="N27" s="399">
        <v>992647</v>
      </c>
      <c r="O27" s="399">
        <f>D27+H27</f>
        <v>29117647</v>
      </c>
      <c r="P27" s="420"/>
      <c r="Q27" s="408">
        <f t="shared" ref="Q27" si="4">(D27-((D27*S27))/100)</f>
        <v>26156250</v>
      </c>
      <c r="R27" s="415"/>
      <c r="S27" s="459">
        <v>7</v>
      </c>
      <c r="T27" s="400">
        <v>0</v>
      </c>
      <c r="AMJ27"/>
    </row>
    <row r="28" spans="1:1024" s="304" customFormat="1" ht="24.75" customHeight="1" x14ac:dyDescent="0.25">
      <c r="A28" s="570"/>
      <c r="B28" s="573"/>
      <c r="C28" s="457" t="s">
        <v>229</v>
      </c>
      <c r="D28" s="466">
        <v>1875000</v>
      </c>
      <c r="E28" s="399">
        <v>0</v>
      </c>
      <c r="F28" s="466">
        <v>1875000</v>
      </c>
      <c r="G28" s="420">
        <v>0</v>
      </c>
      <c r="H28" s="476">
        <f>SUM(I28+N28)</f>
        <v>93750</v>
      </c>
      <c r="I28" s="409">
        <v>0</v>
      </c>
      <c r="J28" s="399">
        <v>0</v>
      </c>
      <c r="K28" s="491">
        <v>0</v>
      </c>
      <c r="L28" s="491">
        <v>0</v>
      </c>
      <c r="M28" s="491">
        <v>0</v>
      </c>
      <c r="N28" s="399">
        <v>93750</v>
      </c>
      <c r="O28" s="399">
        <f>D28+H28</f>
        <v>1968750</v>
      </c>
      <c r="P28" s="420"/>
      <c r="Q28" s="408">
        <f t="shared" ref="Q28" si="5">(D28-((D28*S27))/100)</f>
        <v>1743750</v>
      </c>
      <c r="R28" s="417"/>
      <c r="S28" s="459">
        <v>7</v>
      </c>
      <c r="T28" s="400">
        <v>0</v>
      </c>
      <c r="AMJ28"/>
    </row>
    <row r="29" spans="1:1024" s="304" customFormat="1" ht="24.75" customHeight="1" x14ac:dyDescent="0.25">
      <c r="A29" s="570" t="s">
        <v>242</v>
      </c>
      <c r="B29" s="570" t="s">
        <v>227</v>
      </c>
      <c r="C29" s="403" t="s">
        <v>228</v>
      </c>
      <c r="D29" s="399">
        <v>89062500</v>
      </c>
      <c r="E29" s="399">
        <v>0</v>
      </c>
      <c r="F29" s="399">
        <v>89062500</v>
      </c>
      <c r="G29" s="420">
        <v>0</v>
      </c>
      <c r="H29" s="476">
        <f t="shared" si="2"/>
        <v>29687500</v>
      </c>
      <c r="I29" s="409">
        <f>SUM(J29:M29)</f>
        <v>0</v>
      </c>
      <c r="J29" s="491">
        <v>0</v>
      </c>
      <c r="K29" s="491">
        <v>0</v>
      </c>
      <c r="L29" s="491">
        <v>0</v>
      </c>
      <c r="M29" s="491">
        <v>0</v>
      </c>
      <c r="N29" s="399">
        <f>(F29*0.25)/0.75</f>
        <v>29687500</v>
      </c>
      <c r="O29" s="399">
        <f>N29+F29</f>
        <v>118750000</v>
      </c>
      <c r="P29" s="420"/>
      <c r="Q29" s="408">
        <f t="shared" ref="Q29" si="6">(D29-((D29*S29))/100)</f>
        <v>82828125</v>
      </c>
      <c r="R29" s="417"/>
      <c r="S29" s="459">
        <v>7</v>
      </c>
      <c r="T29" s="400">
        <v>0</v>
      </c>
      <c r="AMJ29"/>
    </row>
    <row r="30" spans="1:1024" s="304" customFormat="1" ht="24.75" customHeight="1" x14ac:dyDescent="0.25">
      <c r="A30" s="570"/>
      <c r="B30" s="570"/>
      <c r="C30" s="403" t="s">
        <v>229</v>
      </c>
      <c r="D30" s="399">
        <v>5937500</v>
      </c>
      <c r="E30" s="399">
        <v>0</v>
      </c>
      <c r="F30" s="399">
        <v>5937500</v>
      </c>
      <c r="G30" s="420">
        <v>0</v>
      </c>
      <c r="H30" s="476">
        <f>SUM(I30+N30)</f>
        <v>1979166.6666666667</v>
      </c>
      <c r="I30" s="409">
        <f>SUM(J30:M30)</f>
        <v>0</v>
      </c>
      <c r="J30" s="420">
        <v>0</v>
      </c>
      <c r="K30" s="420">
        <v>0</v>
      </c>
      <c r="L30" s="420">
        <v>0</v>
      </c>
      <c r="M30" s="420">
        <v>0</v>
      </c>
      <c r="N30" s="399">
        <f>(F30*0.25)/0.75</f>
        <v>1979166.6666666667</v>
      </c>
      <c r="O30" s="399">
        <f>N30+F30</f>
        <v>7916666.666666667</v>
      </c>
      <c r="P30" s="420"/>
      <c r="Q30" s="408">
        <f t="shared" ref="Q30" si="7">(D30-((D30*S29))/100)</f>
        <v>5521875</v>
      </c>
      <c r="R30" s="417"/>
      <c r="S30" s="459">
        <v>7</v>
      </c>
      <c r="T30" s="400">
        <v>0</v>
      </c>
      <c r="W30" s="397">
        <f>SUM(Q27:Q30)</f>
        <v>116250000</v>
      </c>
      <c r="AA30" s="397"/>
      <c r="AMJ30"/>
    </row>
    <row r="31" spans="1:1024" s="304" customFormat="1" ht="24.75" customHeight="1" x14ac:dyDescent="0.25">
      <c r="A31" s="570" t="s">
        <v>243</v>
      </c>
      <c r="B31" s="578" t="s">
        <v>227</v>
      </c>
      <c r="C31" s="453" t="s">
        <v>228</v>
      </c>
      <c r="D31" s="492">
        <v>200400124</v>
      </c>
      <c r="E31" s="399">
        <v>0</v>
      </c>
      <c r="F31" s="492">
        <v>200400124</v>
      </c>
      <c r="G31" s="420">
        <v>0</v>
      </c>
      <c r="H31" s="476">
        <f t="shared" si="2"/>
        <v>89956337.865289092</v>
      </c>
      <c r="I31" s="409">
        <f>I33+I35+I37+I39+I41</f>
        <v>537684</v>
      </c>
      <c r="J31" s="399">
        <f>J33+J35+J37+J39+J41</f>
        <v>537684</v>
      </c>
      <c r="K31" s="420">
        <v>0</v>
      </c>
      <c r="L31" s="420">
        <v>0</v>
      </c>
      <c r="M31" s="420">
        <v>0</v>
      </c>
      <c r="N31" s="399">
        <f>N33+N35+N37+N39</f>
        <v>89418653.865289092</v>
      </c>
      <c r="O31" s="399">
        <f>D31+H31</f>
        <v>290356461.86528909</v>
      </c>
      <c r="P31" s="420"/>
      <c r="Q31" s="408">
        <f t="shared" ref="Q31" si="8">(D31-((D31*S31))/100)</f>
        <v>186372115.31999999</v>
      </c>
      <c r="R31" s="415"/>
      <c r="S31" s="459">
        <v>7</v>
      </c>
      <c r="T31" s="305">
        <v>0</v>
      </c>
      <c r="AMJ31"/>
    </row>
    <row r="32" spans="1:1024" s="304" customFormat="1" ht="24.75" customHeight="1" x14ac:dyDescent="0.25">
      <c r="A32" s="570"/>
      <c r="B32" s="578"/>
      <c r="C32" s="457" t="s">
        <v>229</v>
      </c>
      <c r="D32" s="493">
        <v>20969876</v>
      </c>
      <c r="E32" s="466">
        <v>0</v>
      </c>
      <c r="F32" s="493">
        <v>20969876</v>
      </c>
      <c r="G32" s="420">
        <v>0</v>
      </c>
      <c r="H32" s="476">
        <f t="shared" si="2"/>
        <v>9924754.1547619049</v>
      </c>
      <c r="I32" s="409">
        <f t="shared" ref="I32:I51" si="9">SUM(J32:M32)</f>
        <v>50781</v>
      </c>
      <c r="J32" s="399">
        <f>J34+J36+J38+J40+J42</f>
        <v>50781</v>
      </c>
      <c r="K32" s="420">
        <v>0</v>
      </c>
      <c r="L32" s="420">
        <v>0</v>
      </c>
      <c r="M32" s="420">
        <v>0</v>
      </c>
      <c r="N32" s="399">
        <f>N34+N36+N38+N40</f>
        <v>9873973.1547619049</v>
      </c>
      <c r="O32" s="399">
        <f>O34+O36+O38+O40+O42</f>
        <v>30894630.303129271</v>
      </c>
      <c r="P32" s="420"/>
      <c r="Q32" s="408">
        <f t="shared" ref="Q32" si="10">(D32-((D32*S31))/100)</f>
        <v>19501984.68</v>
      </c>
      <c r="R32" s="413"/>
      <c r="S32" s="459">
        <v>7</v>
      </c>
      <c r="T32" s="305">
        <v>0</v>
      </c>
      <c r="AMJ32"/>
    </row>
    <row r="33" spans="1:1024" s="304" customFormat="1" ht="24.75" customHeight="1" x14ac:dyDescent="0.25">
      <c r="A33" s="570" t="s">
        <v>244</v>
      </c>
      <c r="B33" s="570" t="s">
        <v>227</v>
      </c>
      <c r="C33" s="403" t="s">
        <v>228</v>
      </c>
      <c r="D33" s="399">
        <v>39340500</v>
      </c>
      <c r="E33" s="399">
        <v>0</v>
      </c>
      <c r="F33" s="399">
        <v>39340500</v>
      </c>
      <c r="G33" s="420">
        <v>0</v>
      </c>
      <c r="H33" s="476">
        <f>SUM(I33+N33)</f>
        <v>16860214.285714287</v>
      </c>
      <c r="I33" s="409">
        <f t="shared" si="9"/>
        <v>0</v>
      </c>
      <c r="J33" s="420">
        <v>0</v>
      </c>
      <c r="K33" s="420">
        <v>0</v>
      </c>
      <c r="L33" s="420">
        <v>0</v>
      </c>
      <c r="M33" s="420">
        <v>0</v>
      </c>
      <c r="N33" s="399">
        <f>D33*0.3/0.7</f>
        <v>16860214.285714287</v>
      </c>
      <c r="O33" s="399">
        <f>D33+H33</f>
        <v>56200714.285714284</v>
      </c>
      <c r="P33" s="420"/>
      <c r="Q33" s="408">
        <f t="shared" ref="Q33" si="11">(D33-((D33*S33))/100)</f>
        <v>36586665</v>
      </c>
      <c r="R33" s="419"/>
      <c r="S33" s="459">
        <v>7</v>
      </c>
      <c r="T33" s="400">
        <v>0</v>
      </c>
      <c r="AMJ33"/>
    </row>
    <row r="34" spans="1:1024" s="304" customFormat="1" ht="24.75" customHeight="1" x14ac:dyDescent="0.25">
      <c r="A34" s="570"/>
      <c r="B34" s="570"/>
      <c r="C34" s="403" t="s">
        <v>229</v>
      </c>
      <c r="D34" s="399">
        <v>4239500</v>
      </c>
      <c r="E34" s="399">
        <v>0</v>
      </c>
      <c r="F34" s="399">
        <v>4239500</v>
      </c>
      <c r="G34" s="420">
        <v>0</v>
      </c>
      <c r="H34" s="476">
        <f t="shared" si="2"/>
        <v>1816928.5714285716</v>
      </c>
      <c r="I34" s="409">
        <f t="shared" si="9"/>
        <v>0</v>
      </c>
      <c r="J34" s="420">
        <v>0</v>
      </c>
      <c r="K34" s="420">
        <v>0</v>
      </c>
      <c r="L34" s="420">
        <v>0</v>
      </c>
      <c r="M34" s="420">
        <v>0</v>
      </c>
      <c r="N34" s="399">
        <f>D34*0.3/0.7</f>
        <v>1816928.5714285716</v>
      </c>
      <c r="O34" s="399">
        <f>D34+H34</f>
        <v>6056428.5714285718</v>
      </c>
      <c r="P34" s="420"/>
      <c r="Q34" s="408">
        <f t="shared" ref="Q34" si="12">(D34-((D34*S33))/100)</f>
        <v>3942735</v>
      </c>
      <c r="R34" s="419"/>
      <c r="S34" s="459">
        <v>7</v>
      </c>
      <c r="T34" s="400">
        <v>0</v>
      </c>
      <c r="W34" s="397">
        <f>SUM(Q33:Q34)</f>
        <v>40529400</v>
      </c>
      <c r="AA34" s="397"/>
      <c r="AMJ34"/>
    </row>
    <row r="35" spans="1:1024" s="304" customFormat="1" ht="24.75" customHeight="1" x14ac:dyDescent="0.25">
      <c r="A35" s="570" t="s">
        <v>245</v>
      </c>
      <c r="B35" s="579" t="s">
        <v>227</v>
      </c>
      <c r="C35" s="403" t="s">
        <v>228</v>
      </c>
      <c r="D35" s="399">
        <v>72822353</v>
      </c>
      <c r="E35" s="399">
        <v>0</v>
      </c>
      <c r="F35" s="399">
        <v>72822353</v>
      </c>
      <c r="G35" s="420">
        <v>0</v>
      </c>
      <c r="H35" s="476">
        <f t="shared" si="2"/>
        <v>24274117.579574801</v>
      </c>
      <c r="I35" s="409">
        <f t="shared" si="9"/>
        <v>0</v>
      </c>
      <c r="J35" s="420">
        <v>0</v>
      </c>
      <c r="K35" s="420">
        <v>0</v>
      </c>
      <c r="L35" s="420">
        <v>0</v>
      </c>
      <c r="M35" s="420">
        <v>0</v>
      </c>
      <c r="N35" s="399">
        <v>24274117.579574801</v>
      </c>
      <c r="O35" s="399">
        <f>SUM(D35+H35)</f>
        <v>97096470.579574794</v>
      </c>
      <c r="P35" s="420"/>
      <c r="Q35" s="408">
        <f t="shared" ref="Q35" si="13">(D35-((D35*S35))/100)</f>
        <v>67724788.290000007</v>
      </c>
      <c r="R35" s="419"/>
      <c r="S35" s="459">
        <v>7</v>
      </c>
      <c r="T35" s="400">
        <v>0</v>
      </c>
      <c r="AMJ35"/>
    </row>
    <row r="36" spans="1:1024" s="304" customFormat="1" ht="24.75" customHeight="1" x14ac:dyDescent="0.25">
      <c r="A36" s="570"/>
      <c r="B36" s="579"/>
      <c r="C36" s="458" t="s">
        <v>229</v>
      </c>
      <c r="D36" s="466">
        <v>7847647</v>
      </c>
      <c r="E36" s="466">
        <v>0</v>
      </c>
      <c r="F36" s="466">
        <v>7847647</v>
      </c>
      <c r="G36" s="491">
        <v>0</v>
      </c>
      <c r="H36" s="476">
        <f>SUM(I36+N36)</f>
        <v>2615882.3333333335</v>
      </c>
      <c r="I36" s="409">
        <f t="shared" si="9"/>
        <v>0</v>
      </c>
      <c r="J36" s="466">
        <v>0</v>
      </c>
      <c r="K36" s="491">
        <v>0</v>
      </c>
      <c r="L36" s="491">
        <v>0</v>
      </c>
      <c r="M36" s="491">
        <v>0</v>
      </c>
      <c r="N36" s="399">
        <f>(F36*0.25)/0.75</f>
        <v>2615882.3333333335</v>
      </c>
      <c r="O36" s="399">
        <v>10463529.4817007</v>
      </c>
      <c r="P36" s="420"/>
      <c r="Q36" s="408">
        <f t="shared" ref="Q36" si="14">(D36-((D36*S35))/100)</f>
        <v>7298311.71</v>
      </c>
      <c r="R36" s="419"/>
      <c r="S36" s="459">
        <v>7</v>
      </c>
      <c r="T36" s="400">
        <v>0</v>
      </c>
      <c r="W36" s="397">
        <f>SUM(Q35:Q36)</f>
        <v>75023100</v>
      </c>
      <c r="AA36" s="397"/>
      <c r="AMJ36"/>
    </row>
    <row r="37" spans="1:1024" s="304" customFormat="1" ht="24.75" customHeight="1" x14ac:dyDescent="0.25">
      <c r="A37" s="570" t="s">
        <v>246</v>
      </c>
      <c r="B37" s="570" t="s">
        <v>227</v>
      </c>
      <c r="C37" s="403" t="s">
        <v>228</v>
      </c>
      <c r="D37" s="399">
        <v>30015411</v>
      </c>
      <c r="E37" s="399">
        <v>0</v>
      </c>
      <c r="F37" s="399">
        <v>30015411</v>
      </c>
      <c r="G37" s="420">
        <v>0</v>
      </c>
      <c r="H37" s="476">
        <f t="shared" si="2"/>
        <v>5296837</v>
      </c>
      <c r="I37" s="409">
        <f t="shared" si="9"/>
        <v>0</v>
      </c>
      <c r="J37" s="399">
        <v>0</v>
      </c>
      <c r="K37" s="420">
        <v>0</v>
      </c>
      <c r="L37" s="420">
        <v>0</v>
      </c>
      <c r="M37" s="420">
        <v>0</v>
      </c>
      <c r="N37" s="399">
        <v>5296837</v>
      </c>
      <c r="O37" s="399">
        <f>D37+H37</f>
        <v>35312248</v>
      </c>
      <c r="P37" s="420"/>
      <c r="Q37" s="408">
        <f t="shared" ref="Q37" si="15">(D37-((D37*S37))/100)</f>
        <v>27914332.23</v>
      </c>
      <c r="R37" s="419"/>
      <c r="S37" s="459">
        <v>7</v>
      </c>
      <c r="T37" s="400">
        <v>0</v>
      </c>
      <c r="AMJ37"/>
    </row>
    <row r="38" spans="1:1024" s="304" customFormat="1" ht="24.75" customHeight="1" x14ac:dyDescent="0.25">
      <c r="A38" s="570"/>
      <c r="B38" s="570"/>
      <c r="C38" s="403" t="s">
        <v>229</v>
      </c>
      <c r="D38" s="399">
        <v>3234589</v>
      </c>
      <c r="E38" s="399">
        <v>0</v>
      </c>
      <c r="F38" s="399">
        <v>3234589</v>
      </c>
      <c r="G38" s="420">
        <v>0</v>
      </c>
      <c r="H38" s="476">
        <f t="shared" si="2"/>
        <v>808647.25</v>
      </c>
      <c r="I38" s="409">
        <f t="shared" si="9"/>
        <v>0</v>
      </c>
      <c r="J38" s="399">
        <v>0</v>
      </c>
      <c r="K38" s="420">
        <v>0</v>
      </c>
      <c r="L38" s="420">
        <v>0</v>
      </c>
      <c r="M38" s="420">
        <v>0</v>
      </c>
      <c r="N38" s="399">
        <f>(F38*0.2)/0.8</f>
        <v>808647.25</v>
      </c>
      <c r="O38" s="399">
        <f>F38+H38</f>
        <v>4043236.25</v>
      </c>
      <c r="P38" s="420"/>
      <c r="Q38" s="408">
        <f t="shared" ref="Q38" si="16">(D38-((D38*S37))/100)</f>
        <v>3008167.77</v>
      </c>
      <c r="R38" s="419"/>
      <c r="S38" s="459">
        <v>7</v>
      </c>
      <c r="T38" s="400">
        <v>0</v>
      </c>
      <c r="W38" s="397">
        <f>SUM(Q37:Q38)</f>
        <v>30922500</v>
      </c>
      <c r="AA38" s="397"/>
      <c r="AMJ38"/>
    </row>
    <row r="39" spans="1:1024" s="304" customFormat="1" ht="24.75" customHeight="1" x14ac:dyDescent="0.25">
      <c r="A39" s="570" t="s">
        <v>247</v>
      </c>
      <c r="B39" s="570" t="s">
        <v>227</v>
      </c>
      <c r="C39" s="403" t="s">
        <v>228</v>
      </c>
      <c r="D39" s="399">
        <v>42987485</v>
      </c>
      <c r="E39" s="399">
        <v>0</v>
      </c>
      <c r="F39" s="399">
        <v>42987485</v>
      </c>
      <c r="G39" s="420">
        <v>0</v>
      </c>
      <c r="H39" s="476">
        <f>SUM(I39+N39)</f>
        <v>42987485</v>
      </c>
      <c r="I39" s="409">
        <f t="shared" si="9"/>
        <v>0</v>
      </c>
      <c r="J39" s="399">
        <v>0</v>
      </c>
      <c r="K39" s="420">
        <v>0</v>
      </c>
      <c r="L39" s="420">
        <v>0</v>
      </c>
      <c r="M39" s="420">
        <v>0</v>
      </c>
      <c r="N39" s="399">
        <v>42987485</v>
      </c>
      <c r="O39" s="399">
        <f>D39+H39</f>
        <v>85974970</v>
      </c>
      <c r="P39" s="420"/>
      <c r="Q39" s="408">
        <f t="shared" ref="Q39" si="17">(D39-((D39*S39))/100)</f>
        <v>39978361.049999997</v>
      </c>
      <c r="R39" s="411"/>
      <c r="S39" s="459">
        <v>7</v>
      </c>
      <c r="T39" s="400">
        <v>0</v>
      </c>
      <c r="AMJ39"/>
    </row>
    <row r="40" spans="1:1024" s="304" customFormat="1" ht="37.5" customHeight="1" x14ac:dyDescent="0.25">
      <c r="A40" s="570"/>
      <c r="B40" s="570"/>
      <c r="C40" s="403" t="s">
        <v>229</v>
      </c>
      <c r="D40" s="399">
        <v>4632515</v>
      </c>
      <c r="E40" s="399">
        <v>0</v>
      </c>
      <c r="F40" s="399">
        <v>4632515</v>
      </c>
      <c r="G40" s="420">
        <v>0</v>
      </c>
      <c r="H40" s="476">
        <f t="shared" si="2"/>
        <v>4632515</v>
      </c>
      <c r="I40" s="409">
        <f t="shared" si="9"/>
        <v>0</v>
      </c>
      <c r="J40" s="399">
        <v>0</v>
      </c>
      <c r="K40" s="420">
        <v>0</v>
      </c>
      <c r="L40" s="420">
        <v>0</v>
      </c>
      <c r="M40" s="420">
        <v>0</v>
      </c>
      <c r="N40" s="399">
        <f>(F40*0.5)/0.5</f>
        <v>4632515</v>
      </c>
      <c r="O40" s="399">
        <f>+SUM(D40+H40)</f>
        <v>9265030</v>
      </c>
      <c r="P40" s="420"/>
      <c r="Q40" s="408">
        <f t="shared" ref="Q40" si="18">(D40-((D40*S39))/100)</f>
        <v>4308238.95</v>
      </c>
      <c r="R40" s="413"/>
      <c r="S40" s="459">
        <v>7</v>
      </c>
      <c r="T40" s="400">
        <v>0</v>
      </c>
      <c r="W40" s="397">
        <f>SUM(Q39:Q40)</f>
        <v>44286600</v>
      </c>
      <c r="AA40" s="397"/>
      <c r="AMJ40"/>
    </row>
    <row r="41" spans="1:1024" s="304" customFormat="1" ht="42.75" hidden="1" customHeight="1" x14ac:dyDescent="0.25">
      <c r="A41" s="570" t="s">
        <v>248</v>
      </c>
      <c r="B41" s="570" t="s">
        <v>227</v>
      </c>
      <c r="C41" s="403" t="s">
        <v>228</v>
      </c>
      <c r="D41" s="399">
        <v>15234375</v>
      </c>
      <c r="E41" s="399">
        <v>0</v>
      </c>
      <c r="F41" s="399">
        <v>15234375</v>
      </c>
      <c r="G41" s="420">
        <v>0</v>
      </c>
      <c r="H41" s="476">
        <f t="shared" si="2"/>
        <v>537684</v>
      </c>
      <c r="I41" s="409">
        <f t="shared" si="9"/>
        <v>537684</v>
      </c>
      <c r="J41" s="399">
        <v>537684</v>
      </c>
      <c r="K41" s="420">
        <v>0</v>
      </c>
      <c r="L41" s="420">
        <v>0</v>
      </c>
      <c r="M41" s="420">
        <v>0</v>
      </c>
      <c r="N41" s="399">
        <v>0</v>
      </c>
      <c r="O41" s="399">
        <f>D41+H41</f>
        <v>15772059</v>
      </c>
      <c r="P41" s="420"/>
      <c r="Q41" s="408">
        <f t="shared" ref="Q41" si="19">(D41-((D41*S41))/100)</f>
        <v>14167968.75</v>
      </c>
      <c r="R41" s="415"/>
      <c r="S41" s="459">
        <v>7</v>
      </c>
      <c r="T41" s="400">
        <v>0</v>
      </c>
      <c r="AMJ41"/>
    </row>
    <row r="42" spans="1:1024" s="304" customFormat="1" ht="44.25" hidden="1" customHeight="1" x14ac:dyDescent="0.25">
      <c r="A42" s="570"/>
      <c r="B42" s="570"/>
      <c r="C42" s="403" t="s">
        <v>229</v>
      </c>
      <c r="D42" s="399">
        <v>1015625</v>
      </c>
      <c r="E42" s="399">
        <v>0</v>
      </c>
      <c r="F42" s="399">
        <v>1015625</v>
      </c>
      <c r="G42" s="420">
        <v>0</v>
      </c>
      <c r="H42" s="476">
        <f>SUM(I42+N42)</f>
        <v>50781</v>
      </c>
      <c r="I42" s="409">
        <f t="shared" si="9"/>
        <v>50781</v>
      </c>
      <c r="J42" s="399">
        <v>50781</v>
      </c>
      <c r="K42" s="420">
        <v>0</v>
      </c>
      <c r="L42" s="420">
        <v>0</v>
      </c>
      <c r="M42" s="420">
        <v>0</v>
      </c>
      <c r="N42" s="399">
        <v>0</v>
      </c>
      <c r="O42" s="399">
        <f>D42+H42</f>
        <v>1066406</v>
      </c>
      <c r="P42" s="420"/>
      <c r="Q42" s="408">
        <f t="shared" ref="Q42" si="20">(D42-((D42*S41))/100)</f>
        <v>944531.25</v>
      </c>
      <c r="R42" s="417"/>
      <c r="S42" s="459">
        <v>7</v>
      </c>
      <c r="T42" s="400">
        <v>0</v>
      </c>
      <c r="W42" s="397">
        <f>SUM(Q41:Q42)/1000000</f>
        <v>15.112500000000001</v>
      </c>
      <c r="AA42" s="397"/>
      <c r="AMJ42"/>
    </row>
    <row r="43" spans="1:1024" s="304" customFormat="1" ht="24.75" customHeight="1" x14ac:dyDescent="0.25">
      <c r="A43" s="570" t="s">
        <v>249</v>
      </c>
      <c r="B43" s="570" t="s">
        <v>227</v>
      </c>
      <c r="C43" s="403" t="s">
        <v>228</v>
      </c>
      <c r="D43" s="399">
        <v>105937500</v>
      </c>
      <c r="E43" s="399">
        <v>0</v>
      </c>
      <c r="F43" s="399">
        <v>105937500</v>
      </c>
      <c r="G43" s="420">
        <v>0</v>
      </c>
      <c r="H43" s="476">
        <f t="shared" si="2"/>
        <v>4632353.2941176472</v>
      </c>
      <c r="I43" s="409">
        <f t="shared" si="9"/>
        <v>4632353.2941176472</v>
      </c>
      <c r="J43" s="399">
        <f>J45+J47</f>
        <v>4632353.2941176472</v>
      </c>
      <c r="K43" s="420">
        <v>0</v>
      </c>
      <c r="L43" s="420">
        <v>0</v>
      </c>
      <c r="M43" s="420">
        <v>0</v>
      </c>
      <c r="N43" s="399">
        <v>0</v>
      </c>
      <c r="O43" s="399">
        <f>O45+O47</f>
        <v>110569853.29411764</v>
      </c>
      <c r="P43" s="494"/>
      <c r="Q43" s="408">
        <f t="shared" ref="Q43" si="21">(D43-((D43*S43))/100)</f>
        <v>98521875</v>
      </c>
      <c r="R43" s="417"/>
      <c r="S43" s="459">
        <v>7</v>
      </c>
      <c r="T43" s="305">
        <v>0</v>
      </c>
      <c r="AMJ43"/>
    </row>
    <row r="44" spans="1:1024" s="304" customFormat="1" ht="24.75" customHeight="1" x14ac:dyDescent="0.25">
      <c r="A44" s="570"/>
      <c r="B44" s="570"/>
      <c r="C44" s="403" t="s">
        <v>229</v>
      </c>
      <c r="D44" s="399">
        <v>7062500</v>
      </c>
      <c r="E44" s="399">
        <v>0</v>
      </c>
      <c r="F44" s="399">
        <v>7062500</v>
      </c>
      <c r="G44" s="420">
        <v>0</v>
      </c>
      <c r="H44" s="476">
        <f t="shared" si="2"/>
        <v>437500</v>
      </c>
      <c r="I44" s="409">
        <f t="shared" si="9"/>
        <v>437500</v>
      </c>
      <c r="J44" s="399">
        <f>J46+J48</f>
        <v>437500</v>
      </c>
      <c r="K44" s="420">
        <v>0</v>
      </c>
      <c r="L44" s="420">
        <v>0</v>
      </c>
      <c r="M44" s="420">
        <v>0</v>
      </c>
      <c r="N44" s="399">
        <v>0</v>
      </c>
      <c r="O44" s="399">
        <f>O46+O48</f>
        <v>7500000</v>
      </c>
      <c r="P44" s="494"/>
      <c r="Q44" s="408">
        <f t="shared" ref="Q44" si="22">(D44-((D44*S43))/100)</f>
        <v>6568125</v>
      </c>
      <c r="R44" s="417"/>
      <c r="S44" s="459">
        <v>7</v>
      </c>
      <c r="T44" s="305">
        <v>0</v>
      </c>
      <c r="AMJ44"/>
    </row>
    <row r="45" spans="1:1024" s="293" customFormat="1" ht="24.75" customHeight="1" x14ac:dyDescent="0.25">
      <c r="A45" s="570" t="s">
        <v>250</v>
      </c>
      <c r="B45" s="570" t="s">
        <v>227</v>
      </c>
      <c r="C45" s="458" t="s">
        <v>228</v>
      </c>
      <c r="D45" s="466">
        <v>93750000</v>
      </c>
      <c r="E45" s="466">
        <v>0</v>
      </c>
      <c r="F45" s="466">
        <v>93750000</v>
      </c>
      <c r="G45" s="491">
        <v>0</v>
      </c>
      <c r="H45" s="476">
        <f>SUM(I45+N45)</f>
        <v>2481618</v>
      </c>
      <c r="I45" s="409">
        <f t="shared" si="9"/>
        <v>2481618</v>
      </c>
      <c r="J45" s="466">
        <v>2481618</v>
      </c>
      <c r="K45" s="491">
        <v>0</v>
      </c>
      <c r="L45" s="491">
        <v>0</v>
      </c>
      <c r="M45" s="491">
        <v>0</v>
      </c>
      <c r="N45" s="466">
        <v>0</v>
      </c>
      <c r="O45" s="466">
        <f>F45+H45</f>
        <v>96231618</v>
      </c>
      <c r="P45" s="495"/>
      <c r="Q45" s="408">
        <f t="shared" ref="Q45" si="23">(D45-((D45*S45))/100)</f>
        <v>87187500</v>
      </c>
      <c r="R45" s="415"/>
      <c r="S45" s="459">
        <v>7</v>
      </c>
      <c r="T45" s="400">
        <v>0</v>
      </c>
      <c r="AMJ45"/>
    </row>
    <row r="46" spans="1:1024" s="293" customFormat="1" ht="24.75" customHeight="1" x14ac:dyDescent="0.25">
      <c r="A46" s="570"/>
      <c r="B46" s="570"/>
      <c r="C46" s="403" t="s">
        <v>229</v>
      </c>
      <c r="D46" s="399">
        <v>6250000</v>
      </c>
      <c r="E46" s="399">
        <v>0</v>
      </c>
      <c r="F46" s="399">
        <v>6250000</v>
      </c>
      <c r="G46" s="420">
        <v>0</v>
      </c>
      <c r="H46" s="476">
        <f t="shared" si="2"/>
        <v>234375</v>
      </c>
      <c r="I46" s="409">
        <f t="shared" si="9"/>
        <v>234375</v>
      </c>
      <c r="J46" s="399">
        <v>234375</v>
      </c>
      <c r="K46" s="420">
        <v>0</v>
      </c>
      <c r="L46" s="420">
        <v>0</v>
      </c>
      <c r="M46" s="420">
        <v>0</v>
      </c>
      <c r="N46" s="399">
        <v>0</v>
      </c>
      <c r="O46" s="399">
        <f>F46+H46</f>
        <v>6484375</v>
      </c>
      <c r="P46" s="494"/>
      <c r="Q46" s="408">
        <f t="shared" ref="Q46" si="24">(D46-((D46*S45))/100)</f>
        <v>5812500</v>
      </c>
      <c r="R46" s="419"/>
      <c r="S46" s="459">
        <v>7</v>
      </c>
      <c r="T46" s="400">
        <v>0</v>
      </c>
      <c r="W46" s="299">
        <f>SUM(Q45:Q46)</f>
        <v>93000000</v>
      </c>
      <c r="X46" s="306"/>
      <c r="AA46" s="299"/>
      <c r="AMJ46"/>
    </row>
    <row r="47" spans="1:1024" s="293" customFormat="1" ht="24.75" customHeight="1" x14ac:dyDescent="0.25">
      <c r="A47" s="570" t="s">
        <v>251</v>
      </c>
      <c r="B47" s="570" t="s">
        <v>227</v>
      </c>
      <c r="C47" s="403" t="s">
        <v>228</v>
      </c>
      <c r="D47" s="399">
        <v>12187500</v>
      </c>
      <c r="E47" s="399">
        <v>0</v>
      </c>
      <c r="F47" s="399">
        <v>12187500</v>
      </c>
      <c r="G47" s="420">
        <v>0</v>
      </c>
      <c r="H47" s="476">
        <f t="shared" si="2"/>
        <v>2150735.2941176472</v>
      </c>
      <c r="I47" s="409">
        <f t="shared" si="9"/>
        <v>2150735.2941176472</v>
      </c>
      <c r="J47" s="399">
        <f>(D47*0.15)/0.85</f>
        <v>2150735.2941176472</v>
      </c>
      <c r="K47" s="420">
        <v>0</v>
      </c>
      <c r="L47" s="420">
        <v>0</v>
      </c>
      <c r="M47" s="420">
        <v>0</v>
      </c>
      <c r="N47" s="399">
        <v>0</v>
      </c>
      <c r="O47" s="399">
        <f>H47+D47</f>
        <v>14338235.294117648</v>
      </c>
      <c r="P47" s="420"/>
      <c r="Q47" s="408">
        <f t="shared" ref="Q47" si="25">(D47-((D47*S47))/100)</f>
        <v>11334375</v>
      </c>
      <c r="R47" s="419"/>
      <c r="S47" s="459">
        <v>7</v>
      </c>
      <c r="T47" s="400">
        <v>0</v>
      </c>
      <c r="X47" s="306"/>
      <c r="AMJ47"/>
    </row>
    <row r="48" spans="1:1024" s="293" customFormat="1" ht="24.75" customHeight="1" x14ac:dyDescent="0.25">
      <c r="A48" s="570"/>
      <c r="B48" s="570"/>
      <c r="C48" s="403" t="s">
        <v>229</v>
      </c>
      <c r="D48" s="399">
        <v>812500</v>
      </c>
      <c r="E48" s="399">
        <v>0</v>
      </c>
      <c r="F48" s="399">
        <v>812500</v>
      </c>
      <c r="G48" s="420">
        <v>0</v>
      </c>
      <c r="H48" s="476">
        <f>SUM(I48+N48)</f>
        <v>203125</v>
      </c>
      <c r="I48" s="409">
        <f t="shared" si="9"/>
        <v>203125</v>
      </c>
      <c r="J48" s="399">
        <f>(D48*0.2)/0.8</f>
        <v>203125</v>
      </c>
      <c r="K48" s="420">
        <v>0</v>
      </c>
      <c r="L48" s="420">
        <v>0</v>
      </c>
      <c r="M48" s="420">
        <v>0</v>
      </c>
      <c r="N48" s="399">
        <v>0</v>
      </c>
      <c r="O48" s="399">
        <f>H48+D48</f>
        <v>1015625</v>
      </c>
      <c r="P48" s="420"/>
      <c r="Q48" s="408">
        <f t="shared" ref="Q48" si="26">(D48-((D48*S47))/100)</f>
        <v>755625</v>
      </c>
      <c r="R48" s="419"/>
      <c r="S48" s="459">
        <v>7</v>
      </c>
      <c r="T48" s="400">
        <v>0</v>
      </c>
      <c r="W48" s="299">
        <f>SUM(Q47:Q48)</f>
        <v>12090000</v>
      </c>
      <c r="X48" s="306"/>
      <c r="AA48" s="299"/>
      <c r="AMJ48"/>
    </row>
    <row r="49" spans="1:1024" s="293" customFormat="1" ht="24.75" customHeight="1" x14ac:dyDescent="0.25">
      <c r="A49" s="576" t="s">
        <v>252</v>
      </c>
      <c r="B49" s="574" t="s">
        <v>253</v>
      </c>
      <c r="C49" s="401" t="s">
        <v>228</v>
      </c>
      <c r="D49" s="409">
        <v>419763520</v>
      </c>
      <c r="E49" s="409">
        <v>0</v>
      </c>
      <c r="F49" s="409">
        <v>419763520</v>
      </c>
      <c r="G49" s="490">
        <v>0</v>
      </c>
      <c r="H49" s="476">
        <f t="shared" si="2"/>
        <v>143408155.66666701</v>
      </c>
      <c r="I49" s="409">
        <f t="shared" si="9"/>
        <v>0</v>
      </c>
      <c r="J49" s="490">
        <v>0</v>
      </c>
      <c r="K49" s="490">
        <v>0</v>
      </c>
      <c r="L49" s="490">
        <v>0</v>
      </c>
      <c r="M49" s="490">
        <v>0</v>
      </c>
      <c r="N49" s="399">
        <v>143408155.66666701</v>
      </c>
      <c r="O49" s="409">
        <f>SUM(D49+H49)</f>
        <v>563171675.66666698</v>
      </c>
      <c r="P49" s="490"/>
      <c r="Q49" s="409">
        <f t="shared" ref="Q49:Q51" si="27">SUM(D49-R49)</f>
        <v>390380074</v>
      </c>
      <c r="R49" s="306">
        <v>29383446</v>
      </c>
      <c r="S49" s="461">
        <f>(R49/D49)*100</f>
        <v>6.9999999047082513</v>
      </c>
      <c r="T49" s="308">
        <v>0</v>
      </c>
      <c r="W49" s="299">
        <f>SUM(O49+O51)</f>
        <v>2779677335.1295795</v>
      </c>
      <c r="X49" s="306"/>
      <c r="AMJ49"/>
    </row>
    <row r="50" spans="1:1024" s="293" customFormat="1" ht="24.75" customHeight="1" x14ac:dyDescent="0.25">
      <c r="A50" s="576"/>
      <c r="B50" s="574"/>
      <c r="C50" s="401" t="s">
        <v>229</v>
      </c>
      <c r="D50" s="409">
        <v>28234711.900612101</v>
      </c>
      <c r="E50" s="409">
        <v>0</v>
      </c>
      <c r="F50" s="409">
        <v>28234711.900612101</v>
      </c>
      <c r="G50" s="490">
        <v>0</v>
      </c>
      <c r="H50" s="476">
        <f t="shared" si="2"/>
        <v>9811020.6506121103</v>
      </c>
      <c r="I50" s="409">
        <f t="shared" si="9"/>
        <v>0</v>
      </c>
      <c r="J50" s="490">
        <v>0</v>
      </c>
      <c r="K50" s="490">
        <v>0</v>
      </c>
      <c r="L50" s="490">
        <v>0</v>
      </c>
      <c r="M50" s="490">
        <v>0</v>
      </c>
      <c r="N50" s="409">
        <v>9811020.6506121103</v>
      </c>
      <c r="O50" s="409">
        <f>SUM(D50+H50)</f>
        <v>38045732.551224209</v>
      </c>
      <c r="P50" s="490"/>
      <c r="Q50" s="409">
        <f t="shared" si="27"/>
        <v>26258281.900612101</v>
      </c>
      <c r="R50" s="306">
        <v>1976430</v>
      </c>
      <c r="S50" s="461">
        <f t="shared" ref="S50:S52" si="28">(R50/D50)*100</f>
        <v>7.0000005913187762</v>
      </c>
      <c r="T50" s="308">
        <v>0</v>
      </c>
      <c r="W50" s="299">
        <f>SUM(O50+O52)</f>
        <v>272922024.17793477</v>
      </c>
      <c r="AMJ50"/>
    </row>
    <row r="51" spans="1:1024" s="304" customFormat="1" ht="24.75" customHeight="1" x14ac:dyDescent="0.25">
      <c r="A51" s="576"/>
      <c r="B51" s="577" t="s">
        <v>254</v>
      </c>
      <c r="C51" s="401" t="s">
        <v>228</v>
      </c>
      <c r="D51" s="409">
        <f>SUM(D65,D73)</f>
        <v>1585668881</v>
      </c>
      <c r="E51" s="409">
        <v>0</v>
      </c>
      <c r="F51" s="409">
        <f>SUM(F65,F73)</f>
        <v>1585668881</v>
      </c>
      <c r="G51" s="490">
        <v>0</v>
      </c>
      <c r="H51" s="476">
        <f>SUM(I51+N51)</f>
        <v>630836778.46291244</v>
      </c>
      <c r="I51" s="409">
        <f t="shared" si="9"/>
        <v>6362206.2941176472</v>
      </c>
      <c r="J51" s="409">
        <f>SUM(J73)</f>
        <v>6362206.2941176472</v>
      </c>
      <c r="K51" s="409">
        <v>0</v>
      </c>
      <c r="L51" s="409">
        <v>0</v>
      </c>
      <c r="M51" s="409">
        <v>0</v>
      </c>
      <c r="N51" s="409">
        <f>SUM(N65,N73)</f>
        <v>624474572.16879475</v>
      </c>
      <c r="O51" s="409">
        <f>SUM(D51,H51)</f>
        <v>2216505659.4629126</v>
      </c>
      <c r="P51" s="490"/>
      <c r="Q51" s="409">
        <f t="shared" si="27"/>
        <v>1474672059</v>
      </c>
      <c r="R51" s="306">
        <v>110996822</v>
      </c>
      <c r="S51" s="461">
        <f t="shared" si="28"/>
        <v>7.0000000208114059</v>
      </c>
      <c r="T51" s="308">
        <v>0</v>
      </c>
      <c r="X51" s="397">
        <f>SUM(H50,H52)</f>
        <v>77476023.27732265</v>
      </c>
      <c r="AA51" s="397"/>
      <c r="AMJ51"/>
    </row>
    <row r="52" spans="1:1024" s="304" customFormat="1" ht="24.75" customHeight="1" x14ac:dyDescent="0.25">
      <c r="A52" s="576"/>
      <c r="B52" s="577"/>
      <c r="C52" s="401" t="s">
        <v>229</v>
      </c>
      <c r="D52" s="409">
        <f>SUM(D66,D74)</f>
        <v>167211289</v>
      </c>
      <c r="E52" s="409">
        <v>0</v>
      </c>
      <c r="F52" s="409">
        <f>SUM(F66,F74)</f>
        <v>167211289</v>
      </c>
      <c r="G52" s="490">
        <v>0</v>
      </c>
      <c r="H52" s="476">
        <f>SUM(I52+N52)</f>
        <v>67665002.626710534</v>
      </c>
      <c r="I52" s="409">
        <f>SUM(J52:M52)</f>
        <v>798152</v>
      </c>
      <c r="J52" s="409">
        <f>SUM(J74)</f>
        <v>798152</v>
      </c>
      <c r="K52" s="409">
        <v>0</v>
      </c>
      <c r="L52" s="409">
        <v>0</v>
      </c>
      <c r="M52" s="409">
        <v>0</v>
      </c>
      <c r="N52" s="409">
        <f>SUM(N66,N74)</f>
        <v>66866850.626710542</v>
      </c>
      <c r="O52" s="409">
        <f>SUM(D52,H52)</f>
        <v>234876291.62671053</v>
      </c>
      <c r="P52" s="490"/>
      <c r="Q52" s="409">
        <f>SUM(D52-R52)</f>
        <v>155506499</v>
      </c>
      <c r="R52" s="306">
        <v>11704790</v>
      </c>
      <c r="S52" s="461">
        <f t="shared" si="28"/>
        <v>6.9999998624494779</v>
      </c>
      <c r="T52" s="308">
        <v>0</v>
      </c>
      <c r="X52" s="397">
        <f>SUM(H50+H52)</f>
        <v>77476023.27732265</v>
      </c>
      <c r="AMJ52"/>
    </row>
    <row r="53" spans="1:1024" s="304" customFormat="1" ht="24.75" customHeight="1" x14ac:dyDescent="0.25">
      <c r="A53" s="570" t="s">
        <v>255</v>
      </c>
      <c r="B53" s="570" t="s">
        <v>253</v>
      </c>
      <c r="C53" s="403" t="s">
        <v>228</v>
      </c>
      <c r="D53" s="399">
        <f>SUM(D55,D57,D59,D61,D63,)</f>
        <v>419763520</v>
      </c>
      <c r="E53" s="399">
        <v>0</v>
      </c>
      <c r="F53" s="399">
        <f t="shared" ref="F53:F63" si="29">D53</f>
        <v>419763520</v>
      </c>
      <c r="G53" s="420">
        <v>0</v>
      </c>
      <c r="H53" s="476">
        <f t="shared" si="2"/>
        <v>143408155.66666666</v>
      </c>
      <c r="I53" s="409"/>
      <c r="J53" s="399">
        <f>J55+J57+J59</f>
        <v>0</v>
      </c>
      <c r="K53" s="420">
        <v>0</v>
      </c>
      <c r="L53" s="420">
        <v>0</v>
      </c>
      <c r="M53" s="420">
        <v>0</v>
      </c>
      <c r="N53" s="399">
        <f>N55+N57+N59+N61+N63</f>
        <v>143408155.66666666</v>
      </c>
      <c r="O53" s="399">
        <f>O55+O57+O59+O61+O63</f>
        <v>563171675.66666663</v>
      </c>
      <c r="P53" s="469"/>
      <c r="Q53" s="408">
        <f t="shared" ref="Q53:Q77" si="30">(D53-((D53*S53))/100)</f>
        <v>390380073.60000002</v>
      </c>
      <c r="R53" s="419"/>
      <c r="S53" s="460">
        <v>7</v>
      </c>
      <c r="T53" s="292">
        <v>0</v>
      </c>
      <c r="AMJ53"/>
    </row>
    <row r="54" spans="1:1024" s="304" customFormat="1" ht="32.25" customHeight="1" x14ac:dyDescent="0.25">
      <c r="A54" s="570"/>
      <c r="B54" s="570"/>
      <c r="C54" s="403" t="s">
        <v>229</v>
      </c>
      <c r="D54" s="399">
        <f>SUM(D56,D58,D60,D62,D64,)</f>
        <v>28234712</v>
      </c>
      <c r="E54" s="399">
        <v>0</v>
      </c>
      <c r="F54" s="399">
        <f t="shared" si="29"/>
        <v>28234712</v>
      </c>
      <c r="G54" s="420">
        <v>0</v>
      </c>
      <c r="H54" s="476">
        <f>SUM(I54+N54)</f>
        <v>9811020.75</v>
      </c>
      <c r="I54" s="409"/>
      <c r="J54" s="399">
        <f>J56+J58+J60</f>
        <v>0</v>
      </c>
      <c r="K54" s="420">
        <v>0</v>
      </c>
      <c r="L54" s="420">
        <v>0</v>
      </c>
      <c r="M54" s="420">
        <v>0</v>
      </c>
      <c r="N54" s="399">
        <f>N56+N58+N60+N62+N64</f>
        <v>9811020.75</v>
      </c>
      <c r="O54" s="399">
        <f>O56+O58+O60+O62+O64</f>
        <v>38045732.75</v>
      </c>
      <c r="P54" s="469"/>
      <c r="Q54" s="408">
        <f t="shared" ref="Q54:Q80" si="31">(D54-((D54*S53))/100)</f>
        <v>26258282.16</v>
      </c>
      <c r="R54" s="419"/>
      <c r="S54" s="460">
        <v>7</v>
      </c>
      <c r="T54" s="292">
        <v>0</v>
      </c>
      <c r="AMJ54"/>
    </row>
    <row r="55" spans="1:1024" s="304" customFormat="1" ht="24.75" customHeight="1" x14ac:dyDescent="0.25">
      <c r="A55" s="570" t="s">
        <v>256</v>
      </c>
      <c r="B55" s="570" t="s">
        <v>253</v>
      </c>
      <c r="C55" s="403" t="s">
        <v>228</v>
      </c>
      <c r="D55" s="399">
        <v>169351875</v>
      </c>
      <c r="E55" s="399">
        <v>0</v>
      </c>
      <c r="F55" s="399">
        <f t="shared" si="29"/>
        <v>169351875</v>
      </c>
      <c r="G55" s="420">
        <v>0</v>
      </c>
      <c r="H55" s="476">
        <f t="shared" si="2"/>
        <v>29885625</v>
      </c>
      <c r="I55" s="409">
        <f>SUM(J55:M55)</f>
        <v>0</v>
      </c>
      <c r="J55" s="399">
        <v>0</v>
      </c>
      <c r="K55" s="420">
        <v>0</v>
      </c>
      <c r="L55" s="420">
        <v>0</v>
      </c>
      <c r="M55" s="420">
        <v>0</v>
      </c>
      <c r="N55" s="399">
        <f>(D55*0.15)/0.85</f>
        <v>29885625</v>
      </c>
      <c r="O55" s="399">
        <f>H55+F55</f>
        <v>199237500</v>
      </c>
      <c r="P55" s="469"/>
      <c r="Q55" s="408">
        <f t="shared" si="30"/>
        <v>157497243.75</v>
      </c>
      <c r="R55" s="309"/>
      <c r="S55" s="460">
        <v>7</v>
      </c>
      <c r="T55" s="292">
        <v>0</v>
      </c>
      <c r="AMJ55"/>
    </row>
    <row r="56" spans="1:1024" s="304" customFormat="1" ht="24.75" customHeight="1" x14ac:dyDescent="0.25">
      <c r="A56" s="570"/>
      <c r="B56" s="570"/>
      <c r="C56" s="403" t="s">
        <v>229</v>
      </c>
      <c r="D56" s="399">
        <v>11290125</v>
      </c>
      <c r="E56" s="399">
        <v>0</v>
      </c>
      <c r="F56" s="399">
        <f t="shared" si="29"/>
        <v>11290125</v>
      </c>
      <c r="G56" s="420">
        <v>0</v>
      </c>
      <c r="H56" s="476">
        <f t="shared" si="2"/>
        <v>1992375</v>
      </c>
      <c r="I56" s="409"/>
      <c r="J56" s="399">
        <v>0</v>
      </c>
      <c r="K56" s="420">
        <v>0</v>
      </c>
      <c r="L56" s="420">
        <v>0</v>
      </c>
      <c r="M56" s="420">
        <v>0</v>
      </c>
      <c r="N56" s="399">
        <f>(D56*0.15)/0.85</f>
        <v>1992375</v>
      </c>
      <c r="O56" s="399">
        <f>H56+F56</f>
        <v>13282500</v>
      </c>
      <c r="P56" s="469"/>
      <c r="Q56" s="408">
        <f t="shared" si="31"/>
        <v>10499816.25</v>
      </c>
      <c r="R56" s="309"/>
      <c r="S56" s="460">
        <v>7</v>
      </c>
      <c r="T56" s="292">
        <v>0</v>
      </c>
      <c r="W56" s="397">
        <f>SUM(Q55:Q56)</f>
        <v>167997060</v>
      </c>
      <c r="X56" s="397"/>
      <c r="AA56" s="397"/>
      <c r="AMJ56"/>
    </row>
    <row r="57" spans="1:1024" s="304" customFormat="1" ht="24.75" customHeight="1" x14ac:dyDescent="0.25">
      <c r="A57" s="574" t="s">
        <v>257</v>
      </c>
      <c r="B57" s="574" t="s">
        <v>253</v>
      </c>
      <c r="C57" s="401" t="s">
        <v>228</v>
      </c>
      <c r="D57" s="409">
        <v>54560603</v>
      </c>
      <c r="E57" s="409">
        <v>0</v>
      </c>
      <c r="F57" s="409">
        <f t="shared" si="29"/>
        <v>54560603</v>
      </c>
      <c r="G57" s="490">
        <v>0</v>
      </c>
      <c r="H57" s="476">
        <f>SUM(I57+N57)</f>
        <v>54560603</v>
      </c>
      <c r="I57" s="409">
        <f t="shared" ref="I57:I64" si="32">SUM(J57:M57)</f>
        <v>0</v>
      </c>
      <c r="J57" s="399">
        <v>0</v>
      </c>
      <c r="K57" s="420">
        <v>0</v>
      </c>
      <c r="L57" s="420">
        <v>0</v>
      </c>
      <c r="M57" s="420">
        <v>0</v>
      </c>
      <c r="N57" s="399">
        <f>(D57*0.5)/0.5</f>
        <v>54560603</v>
      </c>
      <c r="O57" s="399">
        <f>F57+H57</f>
        <v>109121206</v>
      </c>
      <c r="P57" s="469"/>
      <c r="Q57" s="408">
        <f t="shared" si="30"/>
        <v>50741360.789999999</v>
      </c>
      <c r="R57" s="309"/>
      <c r="S57" s="460">
        <v>7</v>
      </c>
      <c r="T57" s="292">
        <v>0</v>
      </c>
      <c r="X57" s="397"/>
      <c r="AMJ57"/>
    </row>
    <row r="58" spans="1:1024" s="304" customFormat="1" ht="24.75" customHeight="1" x14ac:dyDescent="0.25">
      <c r="A58" s="574"/>
      <c r="B58" s="574"/>
      <c r="C58" s="401" t="s">
        <v>229</v>
      </c>
      <c r="D58" s="409">
        <v>3637374</v>
      </c>
      <c r="E58" s="409">
        <v>0</v>
      </c>
      <c r="F58" s="409">
        <f t="shared" si="29"/>
        <v>3637374</v>
      </c>
      <c r="G58" s="490">
        <v>0</v>
      </c>
      <c r="H58" s="476">
        <f t="shared" si="2"/>
        <v>3637374</v>
      </c>
      <c r="I58" s="409">
        <f t="shared" si="32"/>
        <v>0</v>
      </c>
      <c r="J58" s="399">
        <v>0</v>
      </c>
      <c r="K58" s="420">
        <v>0</v>
      </c>
      <c r="L58" s="420">
        <v>0</v>
      </c>
      <c r="M58" s="420">
        <v>0</v>
      </c>
      <c r="N58" s="399">
        <f>(D58*0.5)/0.5</f>
        <v>3637374</v>
      </c>
      <c r="O58" s="399">
        <f>F58+H58</f>
        <v>7274748</v>
      </c>
      <c r="P58" s="469"/>
      <c r="Q58" s="408">
        <f t="shared" si="31"/>
        <v>3382757.82</v>
      </c>
      <c r="R58" s="309"/>
      <c r="S58" s="460">
        <v>7</v>
      </c>
      <c r="T58" s="292">
        <v>0</v>
      </c>
      <c r="W58" s="397">
        <f>SUM(Q57:Q58)</f>
        <v>54124118.609999999</v>
      </c>
      <c r="AA58" s="397"/>
      <c r="AMJ58"/>
    </row>
    <row r="59" spans="1:1024" s="304" customFormat="1" ht="24.75" customHeight="1" x14ac:dyDescent="0.25">
      <c r="A59" s="570" t="s">
        <v>258</v>
      </c>
      <c r="B59" s="570" t="s">
        <v>253</v>
      </c>
      <c r="C59" s="403" t="s">
        <v>228</v>
      </c>
      <c r="D59" s="399">
        <v>121632462</v>
      </c>
      <c r="E59" s="399">
        <v>0</v>
      </c>
      <c r="F59" s="409">
        <f t="shared" si="29"/>
        <v>121632462</v>
      </c>
      <c r="G59" s="490">
        <v>0</v>
      </c>
      <c r="H59" s="476">
        <f t="shared" si="2"/>
        <v>30408115</v>
      </c>
      <c r="I59" s="409">
        <f t="shared" si="32"/>
        <v>0</v>
      </c>
      <c r="J59" s="399">
        <v>0</v>
      </c>
      <c r="K59" s="490">
        <v>0</v>
      </c>
      <c r="L59" s="490">
        <v>0</v>
      </c>
      <c r="M59" s="490">
        <v>0</v>
      </c>
      <c r="N59" s="399">
        <v>30408115</v>
      </c>
      <c r="O59" s="399">
        <f>F59+H59</f>
        <v>152040577</v>
      </c>
      <c r="P59" s="469"/>
      <c r="Q59" s="408">
        <f t="shared" si="30"/>
        <v>113118189.66</v>
      </c>
      <c r="R59" s="309"/>
      <c r="S59" s="460">
        <v>7</v>
      </c>
      <c r="T59" s="292">
        <v>0</v>
      </c>
      <c r="AMJ59"/>
    </row>
    <row r="60" spans="1:1024" s="304" customFormat="1" ht="24.75" customHeight="1" x14ac:dyDescent="0.25">
      <c r="A60" s="570"/>
      <c r="B60" s="570"/>
      <c r="C60" s="403" t="s">
        <v>229</v>
      </c>
      <c r="D60" s="399">
        <v>8108831</v>
      </c>
      <c r="E60" s="399">
        <v>0</v>
      </c>
      <c r="F60" s="399">
        <f t="shared" si="29"/>
        <v>8108831</v>
      </c>
      <c r="G60" s="420">
        <v>0</v>
      </c>
      <c r="H60" s="476">
        <f>SUM(I60+N60)</f>
        <v>2027207.7500000002</v>
      </c>
      <c r="I60" s="409">
        <f t="shared" si="32"/>
        <v>0</v>
      </c>
      <c r="J60" s="399">
        <v>0</v>
      </c>
      <c r="K60" s="420">
        <v>0</v>
      </c>
      <c r="L60" s="420">
        <v>0</v>
      </c>
      <c r="M60" s="420">
        <v>0</v>
      </c>
      <c r="N60" s="399">
        <f>(D60*0.2)/0.8</f>
        <v>2027207.7500000002</v>
      </c>
      <c r="O60" s="399">
        <f>F60+H60</f>
        <v>10136038.75</v>
      </c>
      <c r="P60" s="469"/>
      <c r="Q60" s="408">
        <f t="shared" si="31"/>
        <v>7541212.8300000001</v>
      </c>
      <c r="R60" s="309"/>
      <c r="S60" s="460">
        <v>7</v>
      </c>
      <c r="T60" s="292">
        <v>0</v>
      </c>
      <c r="W60" s="397">
        <f>SUM(Q59:Q60)</f>
        <v>120659402.48999999</v>
      </c>
      <c r="AA60" s="397"/>
      <c r="AMJ60"/>
    </row>
    <row r="61" spans="1:1024" s="304" customFormat="1" ht="24.75" customHeight="1" x14ac:dyDescent="0.25">
      <c r="A61" s="570" t="s">
        <v>259</v>
      </c>
      <c r="B61" s="570" t="s">
        <v>253</v>
      </c>
      <c r="C61" s="403" t="s">
        <v>228</v>
      </c>
      <c r="D61" s="399">
        <v>68497151</v>
      </c>
      <c r="E61" s="399">
        <v>0</v>
      </c>
      <c r="F61" s="399">
        <f t="shared" si="29"/>
        <v>68497151</v>
      </c>
      <c r="G61" s="420">
        <v>0</v>
      </c>
      <c r="H61" s="476">
        <f t="shared" si="2"/>
        <v>22832383.666666668</v>
      </c>
      <c r="I61" s="409">
        <f t="shared" si="32"/>
        <v>0</v>
      </c>
      <c r="J61" s="420">
        <v>0</v>
      </c>
      <c r="K61" s="420">
        <v>0</v>
      </c>
      <c r="L61" s="420">
        <v>0</v>
      </c>
      <c r="M61" s="420">
        <v>0</v>
      </c>
      <c r="N61" s="399">
        <f>D61*0.25/0.75</f>
        <v>22832383.666666668</v>
      </c>
      <c r="O61" s="399">
        <f>F61+H61</f>
        <v>91329534.666666672</v>
      </c>
      <c r="P61" s="469"/>
      <c r="Q61" s="408">
        <f t="shared" si="30"/>
        <v>63702350.43</v>
      </c>
      <c r="R61" s="309"/>
      <c r="S61" s="460">
        <v>7</v>
      </c>
      <c r="T61" s="292">
        <v>0</v>
      </c>
      <c r="AMJ61"/>
    </row>
    <row r="62" spans="1:1024" s="304" customFormat="1" ht="24.75" customHeight="1" x14ac:dyDescent="0.25">
      <c r="A62" s="570"/>
      <c r="B62" s="570"/>
      <c r="C62" s="403" t="s">
        <v>229</v>
      </c>
      <c r="D62" s="399">
        <v>4566477</v>
      </c>
      <c r="E62" s="399">
        <v>0</v>
      </c>
      <c r="F62" s="399">
        <f t="shared" si="29"/>
        <v>4566477</v>
      </c>
      <c r="G62" s="420">
        <v>0</v>
      </c>
      <c r="H62" s="476">
        <f t="shared" si="2"/>
        <v>1522159</v>
      </c>
      <c r="I62" s="409">
        <f t="shared" si="32"/>
        <v>0</v>
      </c>
      <c r="J62" s="420">
        <v>0</v>
      </c>
      <c r="K62" s="420">
        <v>0</v>
      </c>
      <c r="L62" s="420">
        <v>0</v>
      </c>
      <c r="M62" s="420">
        <v>0</v>
      </c>
      <c r="N62" s="399">
        <f>(F62*0.25)/0.75</f>
        <v>1522159</v>
      </c>
      <c r="O62" s="399">
        <f>D62+H62</f>
        <v>6088636</v>
      </c>
      <c r="P62" s="469"/>
      <c r="Q62" s="408">
        <f t="shared" si="31"/>
        <v>4246823.6100000003</v>
      </c>
      <c r="R62" s="309"/>
      <c r="S62" s="460">
        <v>7</v>
      </c>
      <c r="T62" s="292">
        <v>0</v>
      </c>
      <c r="W62" s="397">
        <f>SUM(Q61:Q62)</f>
        <v>67949174.040000007</v>
      </c>
      <c r="AA62" s="397"/>
      <c r="AMJ62"/>
    </row>
    <row r="63" spans="1:1024" s="304" customFormat="1" ht="24.75" customHeight="1" x14ac:dyDescent="0.25">
      <c r="A63" s="570" t="s">
        <v>260</v>
      </c>
      <c r="B63" s="570" t="s">
        <v>253</v>
      </c>
      <c r="C63" s="403" t="s">
        <v>228</v>
      </c>
      <c r="D63" s="399">
        <v>5721429</v>
      </c>
      <c r="E63" s="399">
        <v>0</v>
      </c>
      <c r="F63" s="399">
        <f t="shared" si="29"/>
        <v>5721429</v>
      </c>
      <c r="G63" s="420">
        <v>0</v>
      </c>
      <c r="H63" s="476">
        <f t="shared" si="2"/>
        <v>5721429</v>
      </c>
      <c r="I63" s="409">
        <f t="shared" si="32"/>
        <v>0</v>
      </c>
      <c r="J63" s="420">
        <v>0</v>
      </c>
      <c r="K63" s="420">
        <v>0</v>
      </c>
      <c r="L63" s="420">
        <v>0</v>
      </c>
      <c r="M63" s="420">
        <v>0</v>
      </c>
      <c r="N63" s="399">
        <f>D63*0.5/0.5</f>
        <v>5721429</v>
      </c>
      <c r="O63" s="399">
        <f>D63+H63</f>
        <v>11442858</v>
      </c>
      <c r="P63" s="469"/>
      <c r="Q63" s="408">
        <f t="shared" si="30"/>
        <v>5320928.97</v>
      </c>
      <c r="R63" s="310"/>
      <c r="S63" s="460">
        <v>7</v>
      </c>
      <c r="T63" s="292">
        <v>0</v>
      </c>
      <c r="AMJ63"/>
    </row>
    <row r="64" spans="1:1024" s="304" customFormat="1" ht="24.75" customHeight="1" x14ac:dyDescent="0.25">
      <c r="A64" s="570"/>
      <c r="B64" s="570"/>
      <c r="C64" s="403" t="s">
        <v>229</v>
      </c>
      <c r="D64" s="399">
        <v>631905</v>
      </c>
      <c r="E64" s="399">
        <v>0</v>
      </c>
      <c r="F64" s="399">
        <v>631905</v>
      </c>
      <c r="G64" s="420">
        <v>0</v>
      </c>
      <c r="H64" s="476">
        <f>SUM(I64+N64)</f>
        <v>631905</v>
      </c>
      <c r="I64" s="409">
        <f t="shared" si="32"/>
        <v>0</v>
      </c>
      <c r="J64" s="420">
        <v>0</v>
      </c>
      <c r="K64" s="420">
        <v>0</v>
      </c>
      <c r="L64" s="420">
        <v>0</v>
      </c>
      <c r="M64" s="420">
        <v>0</v>
      </c>
      <c r="N64" s="399">
        <f>D64*0.5/0.5</f>
        <v>631905</v>
      </c>
      <c r="O64" s="399">
        <f>D64+H64</f>
        <v>1263810</v>
      </c>
      <c r="P64" s="469"/>
      <c r="Q64" s="408">
        <f t="shared" si="31"/>
        <v>587671.65</v>
      </c>
      <c r="R64" s="309"/>
      <c r="S64" s="460">
        <v>7</v>
      </c>
      <c r="T64" s="292">
        <v>0</v>
      </c>
      <c r="W64" s="397">
        <f>SUM(Q63:Q64)</f>
        <v>5908600.6200000001</v>
      </c>
      <c r="AA64" s="397"/>
      <c r="AMJ64"/>
    </row>
    <row r="65" spans="1:1024" s="304" customFormat="1" ht="24.75" customHeight="1" x14ac:dyDescent="0.25">
      <c r="A65" s="570" t="s">
        <v>261</v>
      </c>
      <c r="B65" s="570" t="s">
        <v>254</v>
      </c>
      <c r="C65" s="403" t="s">
        <v>228</v>
      </c>
      <c r="D65" s="399">
        <v>1436857813</v>
      </c>
      <c r="E65" s="399">
        <v>0</v>
      </c>
      <c r="F65" s="399">
        <v>1436857813</v>
      </c>
      <c r="G65" s="420">
        <v>0</v>
      </c>
      <c r="H65" s="476">
        <f t="shared" si="2"/>
        <v>595597966.94000006</v>
      </c>
      <c r="I65" s="409"/>
      <c r="J65" s="420">
        <v>0</v>
      </c>
      <c r="K65" s="420">
        <v>0</v>
      </c>
      <c r="L65" s="420">
        <v>0</v>
      </c>
      <c r="M65" s="420">
        <v>0</v>
      </c>
      <c r="N65" s="399">
        <f>N67+N69+N71</f>
        <v>595597966.94000006</v>
      </c>
      <c r="O65" s="409">
        <f>O67+O69+O71</f>
        <v>2032455779.9400001</v>
      </c>
      <c r="P65" s="469"/>
      <c r="Q65" s="408">
        <f t="shared" si="30"/>
        <v>1336277766.0899999</v>
      </c>
      <c r="R65" s="311"/>
      <c r="S65" s="460">
        <v>7</v>
      </c>
      <c r="T65" s="292">
        <v>0</v>
      </c>
      <c r="AMJ65"/>
    </row>
    <row r="66" spans="1:1024" s="304" customFormat="1" ht="24.75" customHeight="1" x14ac:dyDescent="0.25">
      <c r="A66" s="570"/>
      <c r="B66" s="570"/>
      <c r="C66" s="403" t="s">
        <v>229</v>
      </c>
      <c r="D66" s="399">
        <f>153742357-11973180</f>
        <v>141769177</v>
      </c>
      <c r="E66" s="399">
        <v>0</v>
      </c>
      <c r="F66" s="399">
        <f>153742357-11973180</f>
        <v>141769177</v>
      </c>
      <c r="G66" s="420">
        <v>0</v>
      </c>
      <c r="H66" s="476">
        <f t="shared" si="2"/>
        <v>59411669.428571433</v>
      </c>
      <c r="I66" s="409"/>
      <c r="J66" s="420">
        <v>0</v>
      </c>
      <c r="K66" s="420">
        <v>0</v>
      </c>
      <c r="L66" s="420">
        <v>0</v>
      </c>
      <c r="M66" s="420">
        <v>0</v>
      </c>
      <c r="N66" s="399">
        <f>N68+N70+N72</f>
        <v>59411669.428571433</v>
      </c>
      <c r="O66" s="399">
        <f>O68+O70+O72</f>
        <v>201180846.42857143</v>
      </c>
      <c r="P66" s="469"/>
      <c r="Q66" s="408">
        <f t="shared" si="31"/>
        <v>131845334.61</v>
      </c>
      <c r="R66" s="311"/>
      <c r="S66" s="460">
        <v>7</v>
      </c>
      <c r="T66" s="292">
        <v>0</v>
      </c>
      <c r="AMJ66"/>
    </row>
    <row r="67" spans="1:1024" s="304" customFormat="1" ht="24.75" customHeight="1" x14ac:dyDescent="0.25">
      <c r="A67" s="570" t="s">
        <v>262</v>
      </c>
      <c r="B67" s="570" t="s">
        <v>254</v>
      </c>
      <c r="C67" s="403" t="s">
        <v>228</v>
      </c>
      <c r="D67" s="399">
        <v>943670413</v>
      </c>
      <c r="E67" s="399">
        <v>0</v>
      </c>
      <c r="F67" s="399">
        <f t="shared" ref="F67:F72" si="33">D67</f>
        <v>943670413</v>
      </c>
      <c r="G67" s="420">
        <v>0</v>
      </c>
      <c r="H67" s="476">
        <f t="shared" si="2"/>
        <v>404430177</v>
      </c>
      <c r="I67" s="409">
        <f t="shared" ref="I67:I78" si="34">SUM(J67:M67)</f>
        <v>0</v>
      </c>
      <c r="J67" s="420">
        <v>0</v>
      </c>
      <c r="K67" s="420">
        <v>0</v>
      </c>
      <c r="L67" s="420">
        <v>0</v>
      </c>
      <c r="M67" s="420">
        <v>0</v>
      </c>
      <c r="N67" s="399">
        <f>(F67*0.3)/0.7</f>
        <v>404430177</v>
      </c>
      <c r="O67" s="399">
        <f>SUM(D67+H67)</f>
        <v>1348100590</v>
      </c>
      <c r="P67" s="469"/>
      <c r="Q67" s="408">
        <f t="shared" si="30"/>
        <v>877613484.09000003</v>
      </c>
      <c r="R67" s="309"/>
      <c r="S67" s="460">
        <v>7</v>
      </c>
      <c r="T67" s="292">
        <v>0</v>
      </c>
      <c r="AMJ67"/>
    </row>
    <row r="68" spans="1:1024" s="304" customFormat="1" ht="24.75" customHeight="1" x14ac:dyDescent="0.25">
      <c r="A68" s="570"/>
      <c r="B68" s="570"/>
      <c r="C68" s="403" t="s">
        <v>229</v>
      </c>
      <c r="D68" s="399">
        <f>104223942-11973180</f>
        <v>92250762</v>
      </c>
      <c r="E68" s="399">
        <v>0</v>
      </c>
      <c r="F68" s="399">
        <f t="shared" si="33"/>
        <v>92250762</v>
      </c>
      <c r="G68" s="420">
        <v>0</v>
      </c>
      <c r="H68" s="476">
        <f>SUM(I68+N68)</f>
        <v>39536040.857142858</v>
      </c>
      <c r="I68" s="409">
        <f t="shared" si="34"/>
        <v>0</v>
      </c>
      <c r="J68" s="420">
        <v>0</v>
      </c>
      <c r="K68" s="420">
        <v>0</v>
      </c>
      <c r="L68" s="420">
        <v>0</v>
      </c>
      <c r="M68" s="420">
        <v>0</v>
      </c>
      <c r="N68" s="399">
        <f>(F68*0.3)/0.7</f>
        <v>39536040.857142858</v>
      </c>
      <c r="O68" s="399">
        <f>SUM(D68+H68)</f>
        <v>131786802.85714287</v>
      </c>
      <c r="P68" s="469"/>
      <c r="Q68" s="408">
        <f t="shared" si="31"/>
        <v>85793208.659999996</v>
      </c>
      <c r="R68" s="309"/>
      <c r="S68" s="460">
        <v>7</v>
      </c>
      <c r="T68" s="292">
        <v>0</v>
      </c>
      <c r="W68" s="397">
        <f>SUM(Q67:Q68)</f>
        <v>963406692.75</v>
      </c>
      <c r="AA68" s="397"/>
      <c r="AMJ68"/>
    </row>
    <row r="69" spans="1:1024" s="304" customFormat="1" ht="24.75" customHeight="1" x14ac:dyDescent="0.25">
      <c r="A69" s="570" t="s">
        <v>263</v>
      </c>
      <c r="B69" s="570" t="s">
        <v>254</v>
      </c>
      <c r="C69" s="403" t="s">
        <v>228</v>
      </c>
      <c r="D69" s="399">
        <v>380077261</v>
      </c>
      <c r="E69" s="399">
        <v>0</v>
      </c>
      <c r="F69" s="399">
        <f t="shared" si="33"/>
        <v>380077261</v>
      </c>
      <c r="G69" s="420">
        <v>0</v>
      </c>
      <c r="H69" s="476">
        <f t="shared" si="2"/>
        <v>162890254.99000001</v>
      </c>
      <c r="I69" s="409">
        <f t="shared" si="34"/>
        <v>0</v>
      </c>
      <c r="J69" s="420">
        <v>0</v>
      </c>
      <c r="K69" s="420">
        <v>0</v>
      </c>
      <c r="L69" s="420">
        <v>0</v>
      </c>
      <c r="M69" s="420">
        <v>0</v>
      </c>
      <c r="N69" s="399">
        <v>162890254.99000001</v>
      </c>
      <c r="O69" s="399">
        <f>D69+H69</f>
        <v>542967515.99000001</v>
      </c>
      <c r="P69" s="469"/>
      <c r="Q69" s="408">
        <f t="shared" si="30"/>
        <v>353471852.73000002</v>
      </c>
      <c r="R69" s="309"/>
      <c r="S69" s="460">
        <v>7</v>
      </c>
      <c r="T69" s="292">
        <v>0</v>
      </c>
      <c r="AMJ69"/>
    </row>
    <row r="70" spans="1:1024" s="304" customFormat="1" ht="24.75" customHeight="1" x14ac:dyDescent="0.25">
      <c r="A70" s="570"/>
      <c r="B70" s="570"/>
      <c r="C70" s="403" t="s">
        <v>229</v>
      </c>
      <c r="D70" s="399">
        <v>41977739</v>
      </c>
      <c r="E70" s="399">
        <v>0</v>
      </c>
      <c r="F70" s="399">
        <f t="shared" si="33"/>
        <v>41977739</v>
      </c>
      <c r="G70" s="420">
        <v>0</v>
      </c>
      <c r="H70" s="476">
        <f t="shared" si="2"/>
        <v>17990459.571428571</v>
      </c>
      <c r="I70" s="409">
        <f t="shared" si="34"/>
        <v>0</v>
      </c>
      <c r="J70" s="420">
        <v>0</v>
      </c>
      <c r="K70" s="420">
        <v>0</v>
      </c>
      <c r="L70" s="420">
        <v>0</v>
      </c>
      <c r="M70" s="420">
        <v>0</v>
      </c>
      <c r="N70" s="399">
        <f>(F70*0.3)/0.7</f>
        <v>17990459.571428571</v>
      </c>
      <c r="O70" s="399">
        <f>D70+H70</f>
        <v>59968198.571428567</v>
      </c>
      <c r="P70" s="469"/>
      <c r="Q70" s="408">
        <f t="shared" si="31"/>
        <v>39039297.270000003</v>
      </c>
      <c r="R70" s="309"/>
      <c r="S70" s="460">
        <v>7</v>
      </c>
      <c r="T70" s="292">
        <v>0</v>
      </c>
      <c r="W70" s="397">
        <f>SUM(Q69:Q70)</f>
        <v>392511150</v>
      </c>
      <c r="AA70" s="397"/>
      <c r="AMJ70"/>
    </row>
    <row r="71" spans="1:1024" s="304" customFormat="1" ht="24.75" customHeight="1" x14ac:dyDescent="0.25">
      <c r="A71" s="570" t="s">
        <v>264</v>
      </c>
      <c r="B71" s="570" t="s">
        <v>254</v>
      </c>
      <c r="C71" s="403" t="s">
        <v>228</v>
      </c>
      <c r="D71" s="399">
        <v>113110139</v>
      </c>
      <c r="E71" s="399">
        <v>0</v>
      </c>
      <c r="F71" s="399">
        <f t="shared" si="33"/>
        <v>113110139</v>
      </c>
      <c r="G71" s="420">
        <v>0</v>
      </c>
      <c r="H71" s="476">
        <f t="shared" si="2"/>
        <v>28277534.949999999</v>
      </c>
      <c r="I71" s="409">
        <f t="shared" si="34"/>
        <v>0</v>
      </c>
      <c r="J71" s="420">
        <v>0</v>
      </c>
      <c r="K71" s="420">
        <v>0</v>
      </c>
      <c r="L71" s="420">
        <v>0</v>
      </c>
      <c r="M71" s="420">
        <v>0</v>
      </c>
      <c r="N71" s="399">
        <v>28277534.949999999</v>
      </c>
      <c r="O71" s="399">
        <f>D71+H71</f>
        <v>141387673.94999999</v>
      </c>
      <c r="P71" s="469"/>
      <c r="Q71" s="408">
        <f t="shared" si="30"/>
        <v>105192429.27</v>
      </c>
      <c r="R71" s="309"/>
      <c r="S71" s="460">
        <v>7</v>
      </c>
      <c r="T71" s="292">
        <v>0</v>
      </c>
      <c r="AMJ71"/>
    </row>
    <row r="72" spans="1:1024" s="304" customFormat="1" ht="24.75" customHeight="1" x14ac:dyDescent="0.25">
      <c r="A72" s="570"/>
      <c r="B72" s="570"/>
      <c r="C72" s="403" t="s">
        <v>229</v>
      </c>
      <c r="D72" s="399">
        <v>7540676</v>
      </c>
      <c r="E72" s="399">
        <v>0</v>
      </c>
      <c r="F72" s="399">
        <f t="shared" si="33"/>
        <v>7540676</v>
      </c>
      <c r="G72" s="420">
        <v>0</v>
      </c>
      <c r="H72" s="476">
        <f>SUM(I72+N72)</f>
        <v>1885169</v>
      </c>
      <c r="I72" s="409">
        <f t="shared" si="34"/>
        <v>0</v>
      </c>
      <c r="J72" s="420">
        <v>0</v>
      </c>
      <c r="K72" s="420">
        <v>0</v>
      </c>
      <c r="L72" s="420">
        <v>0</v>
      </c>
      <c r="M72" s="420">
        <v>0</v>
      </c>
      <c r="N72" s="399">
        <v>1885169</v>
      </c>
      <c r="O72" s="399">
        <f>D72+H72</f>
        <v>9425845</v>
      </c>
      <c r="P72" s="469"/>
      <c r="Q72" s="408">
        <f t="shared" si="31"/>
        <v>7012828.6799999997</v>
      </c>
      <c r="R72" s="309"/>
      <c r="S72" s="460">
        <v>7</v>
      </c>
      <c r="T72" s="292">
        <v>0</v>
      </c>
      <c r="W72" s="397">
        <f>SUM(Q71:Q72)</f>
        <v>112205257.94999999</v>
      </c>
      <c r="AA72" s="397"/>
      <c r="AMJ72"/>
    </row>
    <row r="73" spans="1:1024" s="304" customFormat="1" ht="24.75" customHeight="1" x14ac:dyDescent="0.25">
      <c r="A73" s="570" t="s">
        <v>265</v>
      </c>
      <c r="B73" s="570" t="s">
        <v>254</v>
      </c>
      <c r="C73" s="403" t="s">
        <v>228</v>
      </c>
      <c r="D73" s="399">
        <v>148811068</v>
      </c>
      <c r="E73" s="399">
        <v>0</v>
      </c>
      <c r="F73" s="399">
        <f>F75+F77+F79</f>
        <v>148811068</v>
      </c>
      <c r="G73" s="420">
        <v>0</v>
      </c>
      <c r="H73" s="476">
        <f>SUM(I73+N73)</f>
        <v>35238811.522912294</v>
      </c>
      <c r="I73" s="409">
        <f t="shared" si="34"/>
        <v>6362206.2941176472</v>
      </c>
      <c r="J73" s="399">
        <f>J75+J77</f>
        <v>6362206.2941176472</v>
      </c>
      <c r="K73" s="420">
        <v>0</v>
      </c>
      <c r="L73" s="420">
        <v>0</v>
      </c>
      <c r="M73" s="420">
        <v>0</v>
      </c>
      <c r="N73" s="399">
        <f>N79</f>
        <v>28876605.228794646</v>
      </c>
      <c r="O73" s="399">
        <f>O75+O77+O79</f>
        <v>184049879.41114759</v>
      </c>
      <c r="P73" s="469"/>
      <c r="Q73" s="408">
        <f t="shared" si="30"/>
        <v>138394293.24000001</v>
      </c>
      <c r="R73" s="311"/>
      <c r="S73" s="460">
        <v>7</v>
      </c>
      <c r="T73" s="292">
        <v>0</v>
      </c>
      <c r="AMJ73"/>
    </row>
    <row r="74" spans="1:1024" s="304" customFormat="1" ht="24.75" customHeight="1" x14ac:dyDescent="0.25">
      <c r="A74" s="570"/>
      <c r="B74" s="570"/>
      <c r="C74" s="403" t="s">
        <v>229</v>
      </c>
      <c r="D74" s="399">
        <f>D76+D78+D80</f>
        <v>25442112</v>
      </c>
      <c r="E74" s="399">
        <v>0</v>
      </c>
      <c r="F74" s="399">
        <f>F76+F78+F80</f>
        <v>25442112</v>
      </c>
      <c r="G74" s="420">
        <v>0</v>
      </c>
      <c r="H74" s="476">
        <f>SUM(I74+N74)</f>
        <v>8253333.1981391096</v>
      </c>
      <c r="I74" s="409">
        <f>SUM(J74:M74)</f>
        <v>798152</v>
      </c>
      <c r="J74" s="399">
        <f>J76+J78</f>
        <v>798152</v>
      </c>
      <c r="K74" s="420">
        <v>0</v>
      </c>
      <c r="L74" s="420">
        <v>0</v>
      </c>
      <c r="M74" s="420">
        <v>0</v>
      </c>
      <c r="N74" s="399">
        <f>N80</f>
        <v>7455181.1981391096</v>
      </c>
      <c r="O74" s="399">
        <f>O76+O78+O80</f>
        <v>33695445.198139109</v>
      </c>
      <c r="P74" s="469"/>
      <c r="Q74" s="408">
        <f t="shared" si="31"/>
        <v>23661164.16</v>
      </c>
      <c r="R74" s="311"/>
      <c r="S74" s="460">
        <v>7</v>
      </c>
      <c r="T74" s="292">
        <v>0</v>
      </c>
      <c r="AMJ74"/>
    </row>
    <row r="75" spans="1:1024" s="304" customFormat="1" ht="24.75" customHeight="1" x14ac:dyDescent="0.25">
      <c r="A75" s="570" t="s">
        <v>266</v>
      </c>
      <c r="B75" s="570" t="s">
        <v>254</v>
      </c>
      <c r="C75" s="403" t="s">
        <v>228</v>
      </c>
      <c r="D75" s="399">
        <v>39637500</v>
      </c>
      <c r="E75" s="399">
        <v>0</v>
      </c>
      <c r="F75" s="399">
        <f t="shared" ref="F75:F80" si="35">D75</f>
        <v>39637500</v>
      </c>
      <c r="G75" s="420">
        <v>0</v>
      </c>
      <c r="H75" s="476">
        <f t="shared" ref="H75" si="36">SUM(I75+N75)</f>
        <v>1398971</v>
      </c>
      <c r="I75" s="409">
        <f t="shared" si="34"/>
        <v>1398971</v>
      </c>
      <c r="J75" s="399">
        <v>1398971</v>
      </c>
      <c r="K75" s="420">
        <v>0</v>
      </c>
      <c r="L75" s="420">
        <v>0</v>
      </c>
      <c r="M75" s="420">
        <v>0</v>
      </c>
      <c r="N75" s="399">
        <v>0</v>
      </c>
      <c r="O75" s="399">
        <v>41036470.888235301</v>
      </c>
      <c r="P75" s="469"/>
      <c r="Q75" s="408">
        <f t="shared" si="30"/>
        <v>36862875</v>
      </c>
      <c r="R75" s="309"/>
      <c r="S75" s="460">
        <v>7</v>
      </c>
      <c r="T75" s="292">
        <v>0</v>
      </c>
      <c r="AMJ75"/>
    </row>
    <row r="76" spans="1:1024" s="304" customFormat="1" ht="24.75" customHeight="1" x14ac:dyDescent="0.25">
      <c r="A76" s="570"/>
      <c r="B76" s="570"/>
      <c r="C76" s="403" t="s">
        <v>229</v>
      </c>
      <c r="D76" s="399">
        <v>2642500</v>
      </c>
      <c r="E76" s="399">
        <v>0</v>
      </c>
      <c r="F76" s="399">
        <f t="shared" si="35"/>
        <v>2642500</v>
      </c>
      <c r="G76" s="420">
        <v>0</v>
      </c>
      <c r="H76" s="399">
        <f>((D76*0.2)*0.2)/0.8</f>
        <v>132125</v>
      </c>
      <c r="I76" s="409">
        <f t="shared" si="34"/>
        <v>132125</v>
      </c>
      <c r="J76" s="399">
        <f>H76</f>
        <v>132125</v>
      </c>
      <c r="K76" s="420">
        <v>0</v>
      </c>
      <c r="L76" s="420">
        <v>0</v>
      </c>
      <c r="M76" s="420">
        <v>0</v>
      </c>
      <c r="N76" s="399">
        <v>0</v>
      </c>
      <c r="O76" s="399">
        <f>F76+H76</f>
        <v>2774625</v>
      </c>
      <c r="P76" s="469"/>
      <c r="Q76" s="408">
        <f t="shared" si="31"/>
        <v>2457525</v>
      </c>
      <c r="R76" s="309"/>
      <c r="S76" s="460">
        <v>7</v>
      </c>
      <c r="T76" s="292">
        <v>0</v>
      </c>
      <c r="W76" s="397">
        <f>SUM(Q75:Q76)</f>
        <v>39320400</v>
      </c>
      <c r="AA76" s="397"/>
      <c r="AMJ76"/>
    </row>
    <row r="77" spans="1:1024" s="304" customFormat="1" ht="24.75" customHeight="1" x14ac:dyDescent="0.25">
      <c r="A77" s="570" t="s">
        <v>267</v>
      </c>
      <c r="B77" s="570" t="s">
        <v>254</v>
      </c>
      <c r="C77" s="403" t="s">
        <v>228</v>
      </c>
      <c r="D77" s="399">
        <v>28125000</v>
      </c>
      <c r="E77" s="399">
        <v>0</v>
      </c>
      <c r="F77" s="399">
        <f t="shared" si="35"/>
        <v>28125000</v>
      </c>
      <c r="G77" s="420">
        <v>0</v>
      </c>
      <c r="H77" s="399">
        <f>I77+N77</f>
        <v>4963235.2941176472</v>
      </c>
      <c r="I77" s="409">
        <f t="shared" si="34"/>
        <v>4963235.2941176472</v>
      </c>
      <c r="J77" s="399">
        <f>(F77*0.15)/0.85</f>
        <v>4963235.2941176472</v>
      </c>
      <c r="K77" s="420">
        <v>0</v>
      </c>
      <c r="L77" s="420">
        <v>0</v>
      </c>
      <c r="M77" s="420">
        <v>0</v>
      </c>
      <c r="N77" s="399">
        <v>0</v>
      </c>
      <c r="O77" s="399">
        <f t="shared" ref="O77:O98" si="37">D77+H77</f>
        <v>33088235.294117648</v>
      </c>
      <c r="P77" s="469"/>
      <c r="Q77" s="408">
        <f t="shared" si="30"/>
        <v>26156250</v>
      </c>
      <c r="R77" s="309"/>
      <c r="S77" s="460">
        <v>7</v>
      </c>
      <c r="T77" s="292">
        <v>0</v>
      </c>
      <c r="AMJ77"/>
    </row>
    <row r="78" spans="1:1024" s="304" customFormat="1" ht="24.75" customHeight="1" x14ac:dyDescent="0.25">
      <c r="A78" s="570"/>
      <c r="B78" s="570"/>
      <c r="C78" s="403" t="s">
        <v>229</v>
      </c>
      <c r="D78" s="399">
        <v>1875000</v>
      </c>
      <c r="E78" s="399">
        <v>0</v>
      </c>
      <c r="F78" s="399">
        <f t="shared" si="35"/>
        <v>1875000</v>
      </c>
      <c r="G78" s="420">
        <v>0</v>
      </c>
      <c r="H78" s="399">
        <f t="shared" ref="H78" si="38">I78+N78</f>
        <v>666027</v>
      </c>
      <c r="I78" s="409">
        <f t="shared" si="34"/>
        <v>666027</v>
      </c>
      <c r="J78" s="399">
        <v>666027</v>
      </c>
      <c r="K78" s="420">
        <v>0</v>
      </c>
      <c r="L78" s="420">
        <v>0</v>
      </c>
      <c r="M78" s="420">
        <v>0</v>
      </c>
      <c r="N78" s="420">
        <v>0</v>
      </c>
      <c r="O78" s="399">
        <f t="shared" si="37"/>
        <v>2541027</v>
      </c>
      <c r="P78" s="469"/>
      <c r="Q78" s="408">
        <f t="shared" si="31"/>
        <v>1743750</v>
      </c>
      <c r="R78" s="309"/>
      <c r="S78" s="460">
        <v>7</v>
      </c>
      <c r="T78" s="292">
        <v>0</v>
      </c>
      <c r="W78" s="397">
        <f>SUM(Q77:Q78)</f>
        <v>27900000</v>
      </c>
      <c r="AA78" s="397"/>
      <c r="AMJ78"/>
    </row>
    <row r="79" spans="1:1024" s="293" customFormat="1" ht="24.75" customHeight="1" x14ac:dyDescent="0.25">
      <c r="A79" s="570" t="s">
        <v>268</v>
      </c>
      <c r="B79" s="570" t="s">
        <v>254</v>
      </c>
      <c r="C79" s="403" t="s">
        <v>228</v>
      </c>
      <c r="D79" s="399">
        <v>81048568</v>
      </c>
      <c r="E79" s="399">
        <v>0</v>
      </c>
      <c r="F79" s="466">
        <f t="shared" si="35"/>
        <v>81048568</v>
      </c>
      <c r="G79" s="491">
        <v>0</v>
      </c>
      <c r="H79" s="466">
        <f>I79+N79</f>
        <v>28876605.228794646</v>
      </c>
      <c r="I79" s="496">
        <v>0</v>
      </c>
      <c r="J79" s="497">
        <v>0</v>
      </c>
      <c r="K79" s="491">
        <v>0</v>
      </c>
      <c r="L79" s="491">
        <v>0</v>
      </c>
      <c r="M79" s="491">
        <v>0</v>
      </c>
      <c r="N79" s="466">
        <v>28876605.228794646</v>
      </c>
      <c r="O79" s="466">
        <f>D79+H79</f>
        <v>109925173.22879465</v>
      </c>
      <c r="P79" s="498"/>
      <c r="Q79" s="471">
        <f>(D79-((D79*S79))/100)</f>
        <v>75375168.239999995</v>
      </c>
      <c r="R79" s="472"/>
      <c r="S79" s="473">
        <v>7</v>
      </c>
      <c r="T79" s="467">
        <v>0</v>
      </c>
      <c r="U79" s="312"/>
      <c r="V79" s="313"/>
      <c r="W79" s="314"/>
      <c r="X79" s="312"/>
      <c r="Y79" s="312"/>
      <c r="AMJ79"/>
    </row>
    <row r="80" spans="1:1024" s="293" customFormat="1" ht="24.75" customHeight="1" x14ac:dyDescent="0.25">
      <c r="A80" s="570"/>
      <c r="B80" s="570"/>
      <c r="C80" s="403" t="s">
        <v>229</v>
      </c>
      <c r="D80" s="399">
        <f>8951432+11973180</f>
        <v>20924612</v>
      </c>
      <c r="E80" s="399">
        <v>0</v>
      </c>
      <c r="F80" s="399">
        <f t="shared" si="35"/>
        <v>20924612</v>
      </c>
      <c r="G80" s="420">
        <v>0</v>
      </c>
      <c r="H80" s="399">
        <f>I80+N80</f>
        <v>7455181.1981391096</v>
      </c>
      <c r="I80" s="409">
        <v>0</v>
      </c>
      <c r="J80" s="499">
        <v>0</v>
      </c>
      <c r="K80" s="420">
        <v>0</v>
      </c>
      <c r="L80" s="420">
        <v>0</v>
      </c>
      <c r="M80" s="420">
        <v>0</v>
      </c>
      <c r="N80" s="399">
        <v>7455181.1981391096</v>
      </c>
      <c r="O80" s="399">
        <f t="shared" si="37"/>
        <v>28379793.198139109</v>
      </c>
      <c r="P80" s="469"/>
      <c r="Q80" s="399">
        <f t="shared" si="31"/>
        <v>19459889.16</v>
      </c>
      <c r="R80" s="309"/>
      <c r="S80" s="460">
        <v>7</v>
      </c>
      <c r="T80" s="400">
        <v>0</v>
      </c>
      <c r="U80" s="312"/>
      <c r="V80" s="313"/>
      <c r="W80" s="398">
        <f>SUM(Q79:Q80)</f>
        <v>94835057.399999991</v>
      </c>
      <c r="X80" s="312"/>
      <c r="Y80" s="312"/>
      <c r="AA80" s="299"/>
      <c r="AMJ80"/>
    </row>
    <row r="81" spans="1:1024" s="293" customFormat="1" ht="24.75" customHeight="1" x14ac:dyDescent="0.25">
      <c r="A81" s="575" t="s">
        <v>269</v>
      </c>
      <c r="B81" s="570" t="s">
        <v>270</v>
      </c>
      <c r="C81" s="403" t="s">
        <v>228</v>
      </c>
      <c r="D81" s="399">
        <f>D83+D93+D95+D97</f>
        <v>1142671364</v>
      </c>
      <c r="E81" s="487">
        <v>0</v>
      </c>
      <c r="F81" s="399">
        <f>F83+F93+F95+F97</f>
        <v>1142671364</v>
      </c>
      <c r="G81" s="420">
        <v>0</v>
      </c>
      <c r="H81" s="399">
        <f>I81+N81</f>
        <v>300919576</v>
      </c>
      <c r="I81" s="409">
        <f t="shared" ref="I81:I102" si="39">SUM(J81:M81)</f>
        <v>0</v>
      </c>
      <c r="J81" s="420">
        <v>0</v>
      </c>
      <c r="K81" s="420">
        <v>0</v>
      </c>
      <c r="L81" s="420">
        <v>0</v>
      </c>
      <c r="M81" s="420">
        <v>0</v>
      </c>
      <c r="N81" s="399">
        <f>N83+N93+N95+N97</f>
        <v>300919576</v>
      </c>
      <c r="O81" s="399">
        <f t="shared" si="37"/>
        <v>1443590940</v>
      </c>
      <c r="P81" s="474"/>
      <c r="Q81" s="399">
        <f>SUM(D81-R81)</f>
        <v>1062684369</v>
      </c>
      <c r="R81" s="296">
        <v>79986995</v>
      </c>
      <c r="S81" s="315">
        <f>(R81/D81)*100</f>
        <v>6.9999999579931718</v>
      </c>
      <c r="T81" s="400">
        <v>0</v>
      </c>
      <c r="U81" s="312"/>
      <c r="V81" s="313"/>
      <c r="W81" s="398"/>
      <c r="X81" s="312" t="s">
        <v>307</v>
      </c>
      <c r="Y81" s="312"/>
      <c r="AMJ81"/>
    </row>
    <row r="82" spans="1:1024" s="293" customFormat="1" ht="24.75" customHeight="1" x14ac:dyDescent="0.25">
      <c r="A82" s="575"/>
      <c r="B82" s="570"/>
      <c r="C82" s="403" t="s">
        <v>229</v>
      </c>
      <c r="D82" s="399">
        <f>D84+D94+D96+D98</f>
        <v>80302251</v>
      </c>
      <c r="E82" s="487">
        <v>0</v>
      </c>
      <c r="F82" s="399">
        <f>F84+F94+F96+F98</f>
        <v>80302251</v>
      </c>
      <c r="G82" s="420">
        <v>0</v>
      </c>
      <c r="H82" s="399">
        <f t="shared" ref="H82:H98" si="40">I82+N82</f>
        <v>21503329</v>
      </c>
      <c r="I82" s="409">
        <f t="shared" si="39"/>
        <v>0</v>
      </c>
      <c r="J82" s="420">
        <v>0</v>
      </c>
      <c r="K82" s="420">
        <v>0</v>
      </c>
      <c r="L82" s="420">
        <v>0</v>
      </c>
      <c r="M82" s="420">
        <v>0</v>
      </c>
      <c r="N82" s="399">
        <f>N84+N94+N96+N98</f>
        <v>21503329</v>
      </c>
      <c r="O82" s="399">
        <f t="shared" si="37"/>
        <v>101805580</v>
      </c>
      <c r="P82" s="474"/>
      <c r="Q82" s="399">
        <f>$D82-$R82</f>
        <v>74681094</v>
      </c>
      <c r="R82" s="296">
        <v>5621157</v>
      </c>
      <c r="S82" s="315">
        <f>(R82/D82)*100</f>
        <v>6.9999992901817905</v>
      </c>
      <c r="T82" s="400">
        <v>0</v>
      </c>
      <c r="U82" s="312"/>
      <c r="V82" s="313"/>
      <c r="W82" s="314"/>
      <c r="X82" s="478">
        <f>SUM(Q83,Q93,Q95,Q97)</f>
        <v>1062684369.1700001</v>
      </c>
      <c r="Y82" s="312"/>
      <c r="Z82" s="299">
        <v>1062684369</v>
      </c>
      <c r="AA82" s="299"/>
      <c r="AMJ82"/>
    </row>
    <row r="83" spans="1:1024" s="293" customFormat="1" ht="24.75" customHeight="1" x14ac:dyDescent="0.25">
      <c r="A83" s="574" t="s">
        <v>271</v>
      </c>
      <c r="B83" s="570" t="s">
        <v>270</v>
      </c>
      <c r="C83" s="403" t="s">
        <v>228</v>
      </c>
      <c r="D83" s="399">
        <f>SUM(D85,D87,D89,D91)</f>
        <v>450559832</v>
      </c>
      <c r="E83" s="487">
        <v>0</v>
      </c>
      <c r="F83" s="399">
        <f>SUM(F85,F87,F89,F91)</f>
        <v>450559832</v>
      </c>
      <c r="G83" s="420">
        <v>0</v>
      </c>
      <c r="H83" s="399">
        <f t="shared" si="40"/>
        <v>195155867</v>
      </c>
      <c r="I83" s="409">
        <f t="shared" si="39"/>
        <v>0</v>
      </c>
      <c r="J83" s="420">
        <v>0</v>
      </c>
      <c r="K83" s="420">
        <v>0</v>
      </c>
      <c r="L83" s="420">
        <v>0</v>
      </c>
      <c r="M83" s="420">
        <v>0</v>
      </c>
      <c r="N83" s="399">
        <f>SUM(N85,N87,N89,N91)</f>
        <v>195155867</v>
      </c>
      <c r="O83" s="399">
        <f t="shared" si="37"/>
        <v>645715699</v>
      </c>
      <c r="P83" s="474"/>
      <c r="Q83" s="399">
        <f t="shared" ref="Q83:Q95" si="41">(D83-((D83*S83))/100)</f>
        <v>419020643.75999999</v>
      </c>
      <c r="R83" s="309"/>
      <c r="S83" s="309">
        <v>7</v>
      </c>
      <c r="T83" s="400">
        <v>0</v>
      </c>
      <c r="U83" s="312"/>
      <c r="V83" s="313"/>
      <c r="W83" s="316"/>
      <c r="X83" s="479">
        <f>SUM(Q84,Q94,Q96,Q98)</f>
        <v>74681094.340000004</v>
      </c>
      <c r="Y83" s="312"/>
      <c r="Z83" s="299">
        <v>74681094</v>
      </c>
      <c r="AMJ83"/>
    </row>
    <row r="84" spans="1:1024" s="293" customFormat="1" ht="24.75" customHeight="1" x14ac:dyDescent="0.25">
      <c r="A84" s="574"/>
      <c r="B84" s="570"/>
      <c r="C84" s="403" t="s">
        <v>229</v>
      </c>
      <c r="D84" s="399">
        <f>D86+D88+D90+D92</f>
        <v>35229078</v>
      </c>
      <c r="E84" s="487">
        <v>0</v>
      </c>
      <c r="F84" s="399">
        <f>F86+F88+F90+F92</f>
        <v>35229078</v>
      </c>
      <c r="G84" s="420">
        <v>0</v>
      </c>
      <c r="H84" s="399">
        <f t="shared" si="40"/>
        <v>15320728</v>
      </c>
      <c r="I84" s="409">
        <f t="shared" si="39"/>
        <v>0</v>
      </c>
      <c r="J84" s="420">
        <v>0</v>
      </c>
      <c r="K84" s="420">
        <v>0</v>
      </c>
      <c r="L84" s="420">
        <v>0</v>
      </c>
      <c r="M84" s="420">
        <v>0</v>
      </c>
      <c r="N84" s="399">
        <f>SUM(N86,N88,N90,N92)</f>
        <v>15320728</v>
      </c>
      <c r="O84" s="399">
        <f t="shared" si="37"/>
        <v>50549806</v>
      </c>
      <c r="P84" s="474"/>
      <c r="Q84" s="399">
        <f t="shared" ref="Q84:Q98" si="42">(D84-((D84*S83))/100)</f>
        <v>32763042.539999999</v>
      </c>
      <c r="R84" s="309"/>
      <c r="S84" s="309">
        <v>7</v>
      </c>
      <c r="T84" s="400">
        <v>0</v>
      </c>
      <c r="U84" s="312"/>
      <c r="V84" s="313"/>
      <c r="W84" s="316"/>
      <c r="X84" s="317"/>
      <c r="Y84" s="312"/>
      <c r="AA84" s="299"/>
      <c r="AMJ84"/>
    </row>
    <row r="85" spans="1:1024" s="293" customFormat="1" ht="24.75" customHeight="1" x14ac:dyDescent="0.25">
      <c r="A85" s="574" t="s">
        <v>300</v>
      </c>
      <c r="B85" s="570" t="s">
        <v>270</v>
      </c>
      <c r="C85" s="403" t="s">
        <v>228</v>
      </c>
      <c r="D85" s="399">
        <v>122495922</v>
      </c>
      <c r="E85" s="487">
        <v>0</v>
      </c>
      <c r="F85" s="399">
        <v>122495922</v>
      </c>
      <c r="G85" s="420">
        <v>0</v>
      </c>
      <c r="H85" s="399">
        <f t="shared" si="40"/>
        <v>89349201</v>
      </c>
      <c r="I85" s="409">
        <f t="shared" si="39"/>
        <v>0</v>
      </c>
      <c r="J85" s="420">
        <v>0</v>
      </c>
      <c r="K85" s="420">
        <v>0</v>
      </c>
      <c r="L85" s="420">
        <v>0</v>
      </c>
      <c r="M85" s="420">
        <v>0</v>
      </c>
      <c r="N85" s="399">
        <v>89349201</v>
      </c>
      <c r="O85" s="399">
        <f t="shared" si="37"/>
        <v>211845123</v>
      </c>
      <c r="P85" s="474"/>
      <c r="Q85" s="399">
        <f t="shared" si="41"/>
        <v>113921207.46000001</v>
      </c>
      <c r="R85" s="309"/>
      <c r="S85" s="309">
        <v>7</v>
      </c>
      <c r="T85" s="400">
        <v>0</v>
      </c>
      <c r="U85" s="312"/>
      <c r="V85" s="313"/>
      <c r="W85" s="316"/>
      <c r="X85" s="317">
        <v>18833968</v>
      </c>
      <c r="Y85" s="312"/>
      <c r="Z85" s="301"/>
      <c r="AMJ85"/>
    </row>
    <row r="86" spans="1:1024" s="293" customFormat="1" ht="24.75" customHeight="1" x14ac:dyDescent="0.25">
      <c r="A86" s="574"/>
      <c r="B86" s="570"/>
      <c r="C86" s="463" t="s">
        <v>229</v>
      </c>
      <c r="D86" s="399">
        <v>8573643</v>
      </c>
      <c r="E86" s="399">
        <v>0</v>
      </c>
      <c r="F86" s="399">
        <v>8573643</v>
      </c>
      <c r="G86" s="420">
        <v>0</v>
      </c>
      <c r="H86" s="399">
        <f t="shared" si="40"/>
        <v>6256074</v>
      </c>
      <c r="I86" s="409">
        <f t="shared" si="39"/>
        <v>0</v>
      </c>
      <c r="J86" s="420">
        <v>0</v>
      </c>
      <c r="K86" s="420">
        <v>0</v>
      </c>
      <c r="L86" s="420">
        <v>0</v>
      </c>
      <c r="M86" s="420">
        <v>0</v>
      </c>
      <c r="N86" s="399">
        <v>6256074</v>
      </c>
      <c r="O86" s="399">
        <f t="shared" si="37"/>
        <v>14829717</v>
      </c>
      <c r="P86" s="474"/>
      <c r="Q86" s="399">
        <f t="shared" si="42"/>
        <v>7973487.9900000002</v>
      </c>
      <c r="R86" s="309"/>
      <c r="S86" s="309">
        <v>7</v>
      </c>
      <c r="T86" s="400">
        <v>0</v>
      </c>
      <c r="U86" s="312"/>
      <c r="V86" s="313"/>
      <c r="W86" s="475">
        <f>SUM(Q85:Q86)/1000000</f>
        <v>121.89469545</v>
      </c>
      <c r="X86" s="317">
        <v>1255597</v>
      </c>
      <c r="Y86" s="312"/>
      <c r="AA86" s="299"/>
      <c r="AMJ86"/>
    </row>
    <row r="87" spans="1:1024" s="293" customFormat="1" ht="24.75" customHeight="1" x14ac:dyDescent="0.25">
      <c r="A87" s="574" t="s">
        <v>301</v>
      </c>
      <c r="B87" s="570" t="s">
        <v>270</v>
      </c>
      <c r="C87" s="463" t="s">
        <v>228</v>
      </c>
      <c r="D87" s="399">
        <v>91587558</v>
      </c>
      <c r="E87" s="399">
        <v>0</v>
      </c>
      <c r="F87" s="399">
        <v>91587558</v>
      </c>
      <c r="G87" s="420">
        <v>0</v>
      </c>
      <c r="H87" s="399">
        <f t="shared" si="40"/>
        <v>32179412</v>
      </c>
      <c r="I87" s="409">
        <f t="shared" si="39"/>
        <v>0</v>
      </c>
      <c r="J87" s="420">
        <v>0</v>
      </c>
      <c r="K87" s="420">
        <v>0</v>
      </c>
      <c r="L87" s="420">
        <v>0</v>
      </c>
      <c r="M87" s="420">
        <v>0</v>
      </c>
      <c r="N87" s="399">
        <v>32179412</v>
      </c>
      <c r="O87" s="399">
        <f t="shared" si="37"/>
        <v>123766970</v>
      </c>
      <c r="P87" s="474"/>
      <c r="Q87" s="399">
        <f t="shared" si="41"/>
        <v>85176428.939999998</v>
      </c>
      <c r="R87" s="309"/>
      <c r="S87" s="309">
        <v>7</v>
      </c>
      <c r="T87" s="420">
        <v>0</v>
      </c>
      <c r="U87" s="312"/>
      <c r="V87" s="313"/>
      <c r="W87" s="318"/>
      <c r="X87" s="317"/>
      <c r="Y87" s="312"/>
      <c r="AMJ87"/>
    </row>
    <row r="88" spans="1:1024" s="293" customFormat="1" ht="24.75" customHeight="1" x14ac:dyDescent="0.25">
      <c r="A88" s="574"/>
      <c r="B88" s="570"/>
      <c r="C88" s="463" t="s">
        <v>229</v>
      </c>
      <c r="D88" s="399">
        <v>6410328</v>
      </c>
      <c r="E88" s="399">
        <v>0</v>
      </c>
      <c r="F88" s="399">
        <v>6410328</v>
      </c>
      <c r="G88" s="420">
        <v>0</v>
      </c>
      <c r="H88" s="399">
        <f t="shared" si="40"/>
        <v>2252277</v>
      </c>
      <c r="I88" s="409">
        <f t="shared" si="39"/>
        <v>0</v>
      </c>
      <c r="J88" s="420">
        <v>0</v>
      </c>
      <c r="K88" s="420">
        <v>0</v>
      </c>
      <c r="L88" s="420">
        <v>0</v>
      </c>
      <c r="M88" s="420">
        <v>0</v>
      </c>
      <c r="N88" s="399">
        <v>2252277</v>
      </c>
      <c r="O88" s="399">
        <f t="shared" si="37"/>
        <v>8662605</v>
      </c>
      <c r="P88" s="474"/>
      <c r="Q88" s="399">
        <f t="shared" si="42"/>
        <v>5961605.04</v>
      </c>
      <c r="R88" s="309"/>
      <c r="S88" s="309">
        <v>7</v>
      </c>
      <c r="T88" s="420">
        <v>0</v>
      </c>
      <c r="U88" s="312"/>
      <c r="V88" s="313"/>
      <c r="W88" s="317">
        <f>SUM(Q87:Q88)/1000000</f>
        <v>91.138033980000003</v>
      </c>
      <c r="X88" s="317"/>
      <c r="Y88" s="312"/>
      <c r="AA88" s="299"/>
      <c r="AMJ88"/>
    </row>
    <row r="89" spans="1:1024" s="293" customFormat="1" ht="24.75" customHeight="1" x14ac:dyDescent="0.25">
      <c r="A89" s="568" t="s">
        <v>302</v>
      </c>
      <c r="B89" s="570" t="s">
        <v>270</v>
      </c>
      <c r="C89" s="463" t="s">
        <v>228</v>
      </c>
      <c r="D89" s="399">
        <v>77624588</v>
      </c>
      <c r="E89" s="399">
        <v>0</v>
      </c>
      <c r="F89" s="399">
        <v>77624588</v>
      </c>
      <c r="G89" s="420">
        <v>0</v>
      </c>
      <c r="H89" s="399">
        <f t="shared" si="40"/>
        <v>17814472</v>
      </c>
      <c r="I89" s="468">
        <v>0</v>
      </c>
      <c r="J89" s="420">
        <v>0</v>
      </c>
      <c r="K89" s="420">
        <v>0</v>
      </c>
      <c r="L89" s="420">
        <v>0</v>
      </c>
      <c r="M89" s="420">
        <v>0</v>
      </c>
      <c r="N89" s="399">
        <v>17814472</v>
      </c>
      <c r="O89" s="399">
        <f t="shared" si="37"/>
        <v>95439060</v>
      </c>
      <c r="P89" s="469">
        <v>0.25</v>
      </c>
      <c r="Q89" s="399">
        <f t="shared" si="41"/>
        <v>72190866.840000004</v>
      </c>
      <c r="R89" s="309"/>
      <c r="S89" s="309">
        <v>7</v>
      </c>
      <c r="T89" s="420">
        <v>0</v>
      </c>
      <c r="U89" s="312"/>
      <c r="V89" s="313"/>
      <c r="W89" s="318"/>
      <c r="Y89" s="312"/>
      <c r="AMJ89" s="462"/>
    </row>
    <row r="90" spans="1:1024" s="293" customFormat="1" ht="24.75" customHeight="1" x14ac:dyDescent="0.25">
      <c r="A90" s="569"/>
      <c r="B90" s="570"/>
      <c r="C90" s="463" t="s">
        <v>229</v>
      </c>
      <c r="D90" s="399">
        <v>5302136</v>
      </c>
      <c r="E90" s="399">
        <v>0</v>
      </c>
      <c r="F90" s="399">
        <v>5302136</v>
      </c>
      <c r="G90" s="420">
        <v>0</v>
      </c>
      <c r="H90" s="399">
        <f t="shared" si="40"/>
        <v>1244446</v>
      </c>
      <c r="I90" s="468">
        <v>0</v>
      </c>
      <c r="J90" s="420">
        <v>0</v>
      </c>
      <c r="K90" s="420">
        <v>0</v>
      </c>
      <c r="L90" s="420">
        <v>0</v>
      </c>
      <c r="M90" s="420">
        <v>0</v>
      </c>
      <c r="N90" s="399">
        <v>1244446</v>
      </c>
      <c r="O90" s="399">
        <f t="shared" si="37"/>
        <v>6546582</v>
      </c>
      <c r="P90" s="469">
        <v>0.25</v>
      </c>
      <c r="Q90" s="399">
        <f t="shared" si="42"/>
        <v>4930986.4800000004</v>
      </c>
      <c r="R90" s="309"/>
      <c r="S90" s="309">
        <v>7</v>
      </c>
      <c r="T90" s="420">
        <v>0</v>
      </c>
      <c r="U90" s="312"/>
      <c r="V90" s="313"/>
      <c r="W90" s="317">
        <f>SUM(Q89:Q90)/1000000</f>
        <v>77.121853320000014</v>
      </c>
      <c r="X90" s="317"/>
      <c r="Y90" s="312"/>
      <c r="AA90" s="299"/>
      <c r="AMJ90" s="462"/>
    </row>
    <row r="91" spans="1:1024" s="293" customFormat="1" ht="24.75" customHeight="1" x14ac:dyDescent="0.25">
      <c r="A91" s="574" t="s">
        <v>303</v>
      </c>
      <c r="B91" s="570" t="s">
        <v>270</v>
      </c>
      <c r="C91" s="463" t="s">
        <v>228</v>
      </c>
      <c r="D91" s="399">
        <v>158851764</v>
      </c>
      <c r="E91" s="399">
        <v>0</v>
      </c>
      <c r="F91" s="399">
        <v>158851764</v>
      </c>
      <c r="G91" s="420">
        <v>0</v>
      </c>
      <c r="H91" s="399">
        <f t="shared" si="40"/>
        <v>55812782</v>
      </c>
      <c r="I91" s="468">
        <v>0</v>
      </c>
      <c r="J91" s="420">
        <v>0</v>
      </c>
      <c r="K91" s="420">
        <v>0</v>
      </c>
      <c r="L91" s="420">
        <v>0</v>
      </c>
      <c r="M91" s="420">
        <v>0</v>
      </c>
      <c r="N91" s="399">
        <v>55812782</v>
      </c>
      <c r="O91" s="399">
        <f t="shared" si="37"/>
        <v>214664546</v>
      </c>
      <c r="P91" s="469"/>
      <c r="Q91" s="399">
        <f t="shared" si="41"/>
        <v>147732140.52000001</v>
      </c>
      <c r="R91" s="309"/>
      <c r="S91" s="309">
        <v>7</v>
      </c>
      <c r="T91" s="420">
        <v>0</v>
      </c>
      <c r="U91" s="470">
        <f>O91*0.65</f>
        <v>139531954.90000001</v>
      </c>
      <c r="V91" s="313"/>
      <c r="W91" s="318"/>
      <c r="X91" s="317"/>
      <c r="Y91" s="312"/>
      <c r="AMJ91"/>
    </row>
    <row r="92" spans="1:1024" s="293" customFormat="1" ht="24.75" customHeight="1" x14ac:dyDescent="0.25">
      <c r="A92" s="574"/>
      <c r="B92" s="570"/>
      <c r="C92" s="463" t="s">
        <v>229</v>
      </c>
      <c r="D92" s="399">
        <v>14942971</v>
      </c>
      <c r="E92" s="399">
        <v>0</v>
      </c>
      <c r="F92" s="399">
        <v>14942971</v>
      </c>
      <c r="G92" s="420">
        <v>0</v>
      </c>
      <c r="H92" s="399">
        <f t="shared" si="40"/>
        <v>5567931</v>
      </c>
      <c r="I92" s="468">
        <v>0</v>
      </c>
      <c r="J92" s="420">
        <v>0</v>
      </c>
      <c r="K92" s="420">
        <v>0</v>
      </c>
      <c r="L92" s="420">
        <v>0</v>
      </c>
      <c r="M92" s="420">
        <v>0</v>
      </c>
      <c r="N92" s="399">
        <v>5567931</v>
      </c>
      <c r="O92" s="399">
        <f t="shared" si="37"/>
        <v>20510902</v>
      </c>
      <c r="P92" s="469"/>
      <c r="Q92" s="399">
        <f t="shared" si="42"/>
        <v>13896963.029999999</v>
      </c>
      <c r="R92" s="309"/>
      <c r="S92" s="309">
        <v>7</v>
      </c>
      <c r="T92" s="420">
        <v>0</v>
      </c>
      <c r="U92" s="470">
        <f>O92*0.65</f>
        <v>13332086.300000001</v>
      </c>
      <c r="V92" s="313"/>
      <c r="W92" s="317">
        <f>SUM(Q91:Q92)/1000000</f>
        <v>161.62910355000002</v>
      </c>
      <c r="X92" s="317"/>
      <c r="Y92" s="312"/>
      <c r="AA92" s="299"/>
      <c r="AMJ92"/>
    </row>
    <row r="93" spans="1:1024" s="293" customFormat="1" ht="24.75" customHeight="1" x14ac:dyDescent="0.25">
      <c r="A93" s="574" t="s">
        <v>272</v>
      </c>
      <c r="B93" s="570" t="s">
        <v>270</v>
      </c>
      <c r="C93" s="463" t="s">
        <v>228</v>
      </c>
      <c r="D93" s="399">
        <v>423054837</v>
      </c>
      <c r="E93" s="399">
        <v>0</v>
      </c>
      <c r="F93" s="399">
        <v>423054837</v>
      </c>
      <c r="G93" s="420">
        <v>0</v>
      </c>
      <c r="H93" s="399">
        <f t="shared" si="40"/>
        <v>105763709</v>
      </c>
      <c r="I93" s="409">
        <f t="shared" si="39"/>
        <v>0</v>
      </c>
      <c r="J93" s="420">
        <v>0</v>
      </c>
      <c r="K93" s="420">
        <v>0</v>
      </c>
      <c r="L93" s="420">
        <v>0</v>
      </c>
      <c r="M93" s="420">
        <v>0</v>
      </c>
      <c r="N93" s="399">
        <v>105763709</v>
      </c>
      <c r="O93" s="399">
        <f t="shared" si="37"/>
        <v>528818546</v>
      </c>
      <c r="P93" s="420"/>
      <c r="Q93" s="399">
        <f>(D93-((D93*S93))/100)-X85</f>
        <v>374607030.41000003</v>
      </c>
      <c r="R93" s="309"/>
      <c r="S93" s="309">
        <v>7</v>
      </c>
      <c r="T93" s="400">
        <v>0</v>
      </c>
      <c r="U93" s="312"/>
      <c r="V93" s="313"/>
      <c r="W93" s="318"/>
      <c r="X93" s="317"/>
      <c r="Y93" s="312"/>
      <c r="AMJ93"/>
    </row>
    <row r="94" spans="1:1024" s="293" customFormat="1" ht="24.75" customHeight="1" x14ac:dyDescent="0.25">
      <c r="A94" s="574"/>
      <c r="B94" s="570"/>
      <c r="C94" s="403" t="s">
        <v>229</v>
      </c>
      <c r="D94" s="399">
        <v>27136060</v>
      </c>
      <c r="E94" s="399">
        <v>0</v>
      </c>
      <c r="F94" s="399">
        <v>27136060</v>
      </c>
      <c r="G94" s="420">
        <v>0</v>
      </c>
      <c r="H94" s="399">
        <f t="shared" si="40"/>
        <v>6182601</v>
      </c>
      <c r="I94" s="409">
        <f t="shared" si="39"/>
        <v>0</v>
      </c>
      <c r="J94" s="420">
        <v>0</v>
      </c>
      <c r="K94" s="420">
        <v>0</v>
      </c>
      <c r="L94" s="420">
        <v>0</v>
      </c>
      <c r="M94" s="420">
        <v>0</v>
      </c>
      <c r="N94" s="399">
        <v>6182601</v>
      </c>
      <c r="O94" s="399">
        <f t="shared" si="37"/>
        <v>33318661</v>
      </c>
      <c r="P94" s="420"/>
      <c r="Q94" s="399">
        <f>(D94-((D94*S93))/100)-X86</f>
        <v>23980938.800000001</v>
      </c>
      <c r="R94" s="309"/>
      <c r="S94" s="309">
        <v>7</v>
      </c>
      <c r="T94" s="400">
        <v>0</v>
      </c>
      <c r="U94" s="312"/>
      <c r="V94" s="313"/>
      <c r="W94" s="317">
        <f>SUM(Q93:Q94)/1000000</f>
        <v>398.58796921000004</v>
      </c>
      <c r="X94" s="317"/>
      <c r="Y94" s="312"/>
      <c r="AA94" s="299"/>
      <c r="AMJ94"/>
    </row>
    <row r="95" spans="1:1024" s="293" customFormat="1" ht="24.75" customHeight="1" x14ac:dyDescent="0.25">
      <c r="A95" s="574" t="s">
        <v>273</v>
      </c>
      <c r="B95" s="570" t="s">
        <v>270</v>
      </c>
      <c r="C95" s="403" t="s">
        <v>228</v>
      </c>
      <c r="D95" s="399">
        <v>119059931</v>
      </c>
      <c r="E95" s="399">
        <v>0</v>
      </c>
      <c r="F95" s="399">
        <v>119059931</v>
      </c>
      <c r="G95" s="420">
        <v>0</v>
      </c>
      <c r="H95" s="399">
        <f t="shared" si="40"/>
        <v>0</v>
      </c>
      <c r="I95" s="409">
        <f t="shared" si="39"/>
        <v>0</v>
      </c>
      <c r="J95" s="420">
        <v>0</v>
      </c>
      <c r="K95" s="420">
        <v>0</v>
      </c>
      <c r="L95" s="420">
        <v>0</v>
      </c>
      <c r="M95" s="420">
        <v>0</v>
      </c>
      <c r="N95" s="399">
        <v>0</v>
      </c>
      <c r="O95" s="399">
        <f t="shared" si="37"/>
        <v>119059931</v>
      </c>
      <c r="P95" s="469">
        <v>0.3</v>
      </c>
      <c r="Q95" s="399">
        <f t="shared" si="41"/>
        <v>119059931</v>
      </c>
      <c r="R95" s="309"/>
      <c r="S95" s="309"/>
      <c r="T95" s="400">
        <v>0</v>
      </c>
      <c r="U95" s="312"/>
      <c r="V95" s="313"/>
      <c r="W95" s="316"/>
      <c r="X95" s="317"/>
      <c r="Y95" s="317"/>
      <c r="AMJ95"/>
    </row>
    <row r="96" spans="1:1024" s="293" customFormat="1" ht="24.75" customHeight="1" x14ac:dyDescent="0.25">
      <c r="A96" s="574"/>
      <c r="B96" s="570"/>
      <c r="C96" s="403" t="s">
        <v>229</v>
      </c>
      <c r="D96" s="399">
        <v>7937329</v>
      </c>
      <c r="E96" s="399">
        <v>0</v>
      </c>
      <c r="F96" s="399">
        <v>7937329</v>
      </c>
      <c r="G96" s="420">
        <v>0</v>
      </c>
      <c r="H96" s="399">
        <f t="shared" si="40"/>
        <v>0</v>
      </c>
      <c r="I96" s="409">
        <f t="shared" si="39"/>
        <v>0</v>
      </c>
      <c r="J96" s="420">
        <v>0</v>
      </c>
      <c r="K96" s="420">
        <v>0</v>
      </c>
      <c r="L96" s="420">
        <v>0</v>
      </c>
      <c r="M96" s="420">
        <v>0</v>
      </c>
      <c r="N96" s="399">
        <v>0</v>
      </c>
      <c r="O96" s="399">
        <f t="shared" si="37"/>
        <v>7937329</v>
      </c>
      <c r="P96" s="469">
        <v>0.3</v>
      </c>
      <c r="Q96" s="399">
        <f t="shared" si="42"/>
        <v>7937329</v>
      </c>
      <c r="R96" s="309"/>
      <c r="S96" s="309"/>
      <c r="T96" s="400">
        <v>0</v>
      </c>
      <c r="U96" s="312"/>
      <c r="V96" s="313"/>
      <c r="W96" s="475">
        <f>SUM(Q95:Q96)/1000000</f>
        <v>126.99726</v>
      </c>
      <c r="X96" s="317"/>
      <c r="Y96" s="312"/>
      <c r="AA96" s="299"/>
      <c r="AMJ96"/>
    </row>
    <row r="97" spans="1:1024" ht="21" customHeight="1" x14ac:dyDescent="0.25">
      <c r="A97" s="574" t="s">
        <v>274</v>
      </c>
      <c r="B97" s="570" t="s">
        <v>270</v>
      </c>
      <c r="C97" s="403" t="s">
        <v>228</v>
      </c>
      <c r="D97" s="399">
        <v>149996764</v>
      </c>
      <c r="E97" s="399">
        <v>0</v>
      </c>
      <c r="F97" s="399">
        <v>149996764</v>
      </c>
      <c r="G97" s="420">
        <v>0</v>
      </c>
      <c r="H97" s="399">
        <f t="shared" si="40"/>
        <v>0</v>
      </c>
      <c r="I97" s="409">
        <f t="shared" si="39"/>
        <v>0</v>
      </c>
      <c r="J97" s="420">
        <v>0</v>
      </c>
      <c r="K97" s="420">
        <v>0</v>
      </c>
      <c r="L97" s="420">
        <v>0</v>
      </c>
      <c r="M97" s="420">
        <v>0</v>
      </c>
      <c r="N97" s="399">
        <v>0</v>
      </c>
      <c r="O97" s="399">
        <f t="shared" si="37"/>
        <v>149996764</v>
      </c>
      <c r="P97" s="469">
        <v>0.3</v>
      </c>
      <c r="Q97" s="399">
        <f>(D97-((D97*S97))/100)</f>
        <v>149996764</v>
      </c>
      <c r="R97" s="309"/>
      <c r="S97" s="309"/>
      <c r="T97" s="400">
        <v>0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</row>
    <row r="98" spans="1:1024" ht="21" customHeight="1" x14ac:dyDescent="0.25">
      <c r="A98" s="574"/>
      <c r="B98" s="570"/>
      <c r="C98" s="403" t="s">
        <v>229</v>
      </c>
      <c r="D98" s="399">
        <v>9999784</v>
      </c>
      <c r="E98" s="399">
        <v>0</v>
      </c>
      <c r="F98" s="399">
        <v>9999784</v>
      </c>
      <c r="G98" s="420">
        <v>0</v>
      </c>
      <c r="H98" s="399">
        <f t="shared" si="40"/>
        <v>0</v>
      </c>
      <c r="I98" s="409">
        <f t="shared" si="39"/>
        <v>0</v>
      </c>
      <c r="J98" s="420">
        <v>0</v>
      </c>
      <c r="K98" s="420">
        <v>0</v>
      </c>
      <c r="L98" s="420">
        <v>0</v>
      </c>
      <c r="M98" s="420">
        <v>0</v>
      </c>
      <c r="N98" s="399">
        <v>0</v>
      </c>
      <c r="O98" s="399">
        <f t="shared" si="37"/>
        <v>9999784</v>
      </c>
      <c r="P98" s="469">
        <v>0.3</v>
      </c>
      <c r="Q98" s="399">
        <f t="shared" si="42"/>
        <v>9999784</v>
      </c>
      <c r="R98" s="309"/>
      <c r="S98" s="309"/>
      <c r="T98" s="400">
        <v>0</v>
      </c>
      <c r="U98"/>
      <c r="V98"/>
      <c r="W98" s="67">
        <f>SUM(Q97:Q98)/1000000</f>
        <v>159.99654799999999</v>
      </c>
      <c r="X98"/>
      <c r="Y98"/>
      <c r="Z98"/>
      <c r="AA98" s="67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</row>
    <row r="99" spans="1:1024" ht="23.85" customHeight="1" x14ac:dyDescent="0.25">
      <c r="A99" s="571" t="s">
        <v>275</v>
      </c>
      <c r="B99" s="572" t="s">
        <v>276</v>
      </c>
      <c r="C99" s="454" t="s">
        <v>228</v>
      </c>
      <c r="D99" s="399">
        <v>276204661</v>
      </c>
      <c r="E99" s="399">
        <v>0</v>
      </c>
      <c r="F99" s="399">
        <v>276204661</v>
      </c>
      <c r="G99" s="420">
        <v>0</v>
      </c>
      <c r="H99" s="399">
        <f>I99+N99</f>
        <v>48741999</v>
      </c>
      <c r="I99" s="409">
        <f t="shared" si="39"/>
        <v>48741999</v>
      </c>
      <c r="J99" s="399">
        <v>48741999</v>
      </c>
      <c r="K99" s="420">
        <v>0</v>
      </c>
      <c r="L99" s="420">
        <v>0</v>
      </c>
      <c r="M99" s="420">
        <v>0</v>
      </c>
      <c r="N99" s="399">
        <v>0</v>
      </c>
      <c r="O99" s="399">
        <f>D99+H99</f>
        <v>324946660</v>
      </c>
      <c r="P99" s="420"/>
      <c r="Q99" s="399">
        <v>276204661</v>
      </c>
      <c r="R99" s="296">
        <v>0</v>
      </c>
      <c r="S99" s="400"/>
      <c r="T99" s="400">
        <v>0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</row>
    <row r="100" spans="1:1024" x14ac:dyDescent="0.25">
      <c r="A100" s="571"/>
      <c r="B100" s="572"/>
      <c r="C100" s="456" t="s">
        <v>229</v>
      </c>
      <c r="D100" s="399">
        <v>20789598</v>
      </c>
      <c r="E100" s="399">
        <v>0</v>
      </c>
      <c r="F100" s="399">
        <v>20789598</v>
      </c>
      <c r="G100" s="420">
        <v>0</v>
      </c>
      <c r="H100" s="399">
        <f t="shared" ref="H100:H101" si="43">I100+N100</f>
        <v>5197400</v>
      </c>
      <c r="I100" s="409">
        <f t="shared" si="39"/>
        <v>5197400</v>
      </c>
      <c r="J100" s="399">
        <v>5197400</v>
      </c>
      <c r="K100" s="420">
        <v>0</v>
      </c>
      <c r="L100" s="420">
        <v>0</v>
      </c>
      <c r="M100" s="420">
        <v>0</v>
      </c>
      <c r="N100" s="399">
        <v>0</v>
      </c>
      <c r="O100" s="399">
        <f>D100+H100</f>
        <v>25986998</v>
      </c>
      <c r="P100" s="420"/>
      <c r="Q100" s="399">
        <f>D100</f>
        <v>20789598</v>
      </c>
      <c r="R100" s="296">
        <v>0</v>
      </c>
      <c r="S100" s="400"/>
      <c r="T100" s="400">
        <v>0</v>
      </c>
      <c r="U100"/>
      <c r="V100"/>
      <c r="W100" s="67">
        <f>SUM(Q99:Q100)/1000000</f>
        <v>296.994259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</row>
    <row r="101" spans="1:1024" ht="23.85" customHeight="1" x14ac:dyDescent="0.25">
      <c r="A101" s="573" t="s">
        <v>277</v>
      </c>
      <c r="B101" s="573" t="s">
        <v>276</v>
      </c>
      <c r="C101" s="454" t="s">
        <v>228</v>
      </c>
      <c r="D101" s="399">
        <v>276204661</v>
      </c>
      <c r="E101" s="399">
        <v>0</v>
      </c>
      <c r="F101" s="399">
        <v>276204661</v>
      </c>
      <c r="G101" s="420">
        <v>0</v>
      </c>
      <c r="H101" s="399">
        <f t="shared" si="43"/>
        <v>48741999</v>
      </c>
      <c r="I101" s="409">
        <f t="shared" si="39"/>
        <v>48741999</v>
      </c>
      <c r="J101" s="399">
        <v>48741999</v>
      </c>
      <c r="K101" s="420">
        <v>0</v>
      </c>
      <c r="L101" s="420">
        <v>0</v>
      </c>
      <c r="M101" s="420">
        <v>0</v>
      </c>
      <c r="N101" s="399">
        <v>0</v>
      </c>
      <c r="O101" s="399">
        <f>D101+H101</f>
        <v>324946660</v>
      </c>
      <c r="P101" s="420"/>
      <c r="Q101" s="420"/>
      <c r="R101" s="419"/>
      <c r="S101" s="419"/>
      <c r="T101" s="400">
        <v>0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</row>
    <row r="102" spans="1:1024" s="319" customFormat="1" x14ac:dyDescent="0.25">
      <c r="A102" s="573"/>
      <c r="B102" s="573"/>
      <c r="C102" s="454" t="s">
        <v>229</v>
      </c>
      <c r="D102" s="399">
        <v>20789598</v>
      </c>
      <c r="E102" s="399">
        <v>0</v>
      </c>
      <c r="F102" s="399">
        <v>20789598</v>
      </c>
      <c r="G102" s="420">
        <v>0</v>
      </c>
      <c r="H102" s="399">
        <f>I102+N102</f>
        <v>5197400</v>
      </c>
      <c r="I102" s="409">
        <f t="shared" si="39"/>
        <v>5197400</v>
      </c>
      <c r="J102" s="399">
        <v>5197400</v>
      </c>
      <c r="K102" s="420">
        <v>0</v>
      </c>
      <c r="L102" s="420">
        <v>0</v>
      </c>
      <c r="M102" s="420">
        <v>0</v>
      </c>
      <c r="N102" s="399">
        <v>0</v>
      </c>
      <c r="O102" s="399">
        <f>D102+H102</f>
        <v>25986998</v>
      </c>
      <c r="P102" s="420"/>
      <c r="Q102" s="420"/>
      <c r="R102" s="419"/>
      <c r="S102" s="419"/>
      <c r="T102" s="400">
        <v>0</v>
      </c>
      <c r="AA102" s="500"/>
      <c r="AMJ102"/>
    </row>
    <row r="103" spans="1:1024" s="320" customFormat="1" ht="23.85" customHeight="1" x14ac:dyDescent="0.25">
      <c r="A103" s="570" t="s">
        <v>43</v>
      </c>
      <c r="B103" s="570" t="s">
        <v>276</v>
      </c>
      <c r="C103" s="403" t="s">
        <v>228</v>
      </c>
      <c r="D103" s="399">
        <f>SUM(D7,D23,D49,D51,D81,D99)</f>
        <v>7854565382</v>
      </c>
      <c r="E103" s="399">
        <v>0</v>
      </c>
      <c r="F103" s="399">
        <f>SUM(F7,F23,F49,F51,F81,F99)</f>
        <v>7854565381.7569799</v>
      </c>
      <c r="G103" s="420">
        <v>0</v>
      </c>
      <c r="H103" s="399">
        <f>I103+N103</f>
        <v>3666569618.4409194</v>
      </c>
      <c r="I103" s="399">
        <f>SUM(I7,I23,I49,I51,I81,I99)</f>
        <v>60274242.588235296</v>
      </c>
      <c r="J103" s="399">
        <f t="shared" ref="I103:O104" si="44">SUM(J7,J23,J49,J51,J81,J99)</f>
        <v>60274242.588235296</v>
      </c>
      <c r="K103" s="399">
        <f t="shared" si="44"/>
        <v>0</v>
      </c>
      <c r="L103" s="399">
        <f t="shared" si="44"/>
        <v>0</v>
      </c>
      <c r="M103" s="399">
        <f t="shared" si="44"/>
        <v>0</v>
      </c>
      <c r="N103" s="399">
        <f t="shared" si="44"/>
        <v>3606295375.852684</v>
      </c>
      <c r="O103" s="399">
        <f t="shared" si="44"/>
        <v>11521135000.44092</v>
      </c>
      <c r="P103" s="420"/>
      <c r="Q103" s="399">
        <f>SUM(Q7,Q23,Q49,Q51,Q81,Q99)</f>
        <v>7383291460</v>
      </c>
      <c r="R103" s="298">
        <f>SUM(R7,R23,R49,R51,R81,R99)</f>
        <v>471273922</v>
      </c>
      <c r="S103" s="307">
        <f>(R103/D103)*100</f>
        <v>5.9999999882870672</v>
      </c>
      <c r="T103" s="400">
        <v>0</v>
      </c>
      <c r="AMJ103"/>
    </row>
    <row r="104" spans="1:1024" x14ac:dyDescent="0.25">
      <c r="A104" s="570"/>
      <c r="B104" s="570"/>
      <c r="C104" s="403" t="s">
        <v>229</v>
      </c>
      <c r="D104" s="399">
        <f>SUM(D8,D24,D50,D52,D82,D100)</f>
        <v>759363631.90061212</v>
      </c>
      <c r="E104" s="399">
        <v>0</v>
      </c>
      <c r="F104" s="399">
        <f>SUM(F8,F24,F50,F52,F82,F100)</f>
        <v>759363631.90061212</v>
      </c>
      <c r="G104" s="420">
        <v>0</v>
      </c>
      <c r="H104" s="399">
        <f>I104+N104</f>
        <v>366745886.142735</v>
      </c>
      <c r="I104" s="399">
        <f t="shared" si="44"/>
        <v>6483833</v>
      </c>
      <c r="J104" s="399">
        <f t="shared" si="44"/>
        <v>6483833</v>
      </c>
      <c r="K104" s="399">
        <f t="shared" si="44"/>
        <v>0</v>
      </c>
      <c r="L104" s="399">
        <f t="shared" si="44"/>
        <v>0</v>
      </c>
      <c r="M104" s="399">
        <f t="shared" si="44"/>
        <v>0</v>
      </c>
      <c r="N104" s="399">
        <f t="shared" si="44"/>
        <v>360262053.142735</v>
      </c>
      <c r="O104" s="399">
        <f t="shared" si="44"/>
        <v>1126109518.0433471</v>
      </c>
      <c r="P104" s="420"/>
      <c r="Q104" s="399">
        <f>SUM(Q8,Q24,Q50,Q52,Q82,Q100)</f>
        <v>713801812.46883297</v>
      </c>
      <c r="R104" s="298">
        <f>SUM(R8,R24,R50,R52,R82,R100)</f>
        <v>45561818</v>
      </c>
      <c r="S104" s="307">
        <f>(R104/D104)*100</f>
        <v>6.0000000113204361</v>
      </c>
      <c r="T104" s="400">
        <v>0</v>
      </c>
      <c r="W104" s="396">
        <f>SUM(Q103:Q104)/1000000</f>
        <v>8097.0932724688328</v>
      </c>
    </row>
    <row r="105" spans="1:1024" hidden="1" x14ac:dyDescent="0.25">
      <c r="D105" s="396">
        <f>D103+D104</f>
        <v>8613929013.9006119</v>
      </c>
      <c r="W105" s="276">
        <f>W104*4.4141</f>
        <v>35741.379414004681</v>
      </c>
    </row>
    <row r="106" spans="1:1024" hidden="1" x14ac:dyDescent="0.25"/>
    <row r="107" spans="1:1024" hidden="1" x14ac:dyDescent="0.25">
      <c r="C107" s="276" t="s">
        <v>305</v>
      </c>
      <c r="D107" s="477">
        <v>50000000</v>
      </c>
      <c r="F107" s="396">
        <f>F103+F104</f>
        <v>8613929013.6575928</v>
      </c>
      <c r="H107" s="396">
        <f>SUM(H103:H104)</f>
        <v>4033315504.5836544</v>
      </c>
      <c r="N107" s="396">
        <f>SUM(N103:N104)</f>
        <v>3966557428.995419</v>
      </c>
      <c r="O107" s="396">
        <f>SUM(O103:O104)</f>
        <v>12647244518.484266</v>
      </c>
    </row>
    <row r="108" spans="1:1024" hidden="1" x14ac:dyDescent="0.25">
      <c r="C108" s="276" t="s">
        <v>306</v>
      </c>
      <c r="D108" s="321">
        <f>D107/4.176</f>
        <v>11973180.076628352</v>
      </c>
      <c r="E108" s="396">
        <v>11973180</v>
      </c>
      <c r="F108" s="396"/>
      <c r="I108" s="276">
        <v>60274242.588235296</v>
      </c>
    </row>
    <row r="109" spans="1:1024" hidden="1" x14ac:dyDescent="0.25">
      <c r="C109" s="276" t="s">
        <v>304</v>
      </c>
      <c r="D109" s="396"/>
      <c r="E109" s="396"/>
      <c r="F109" s="396"/>
      <c r="I109" s="276">
        <v>6483833</v>
      </c>
    </row>
    <row r="110" spans="1:1024" x14ac:dyDescent="0.25">
      <c r="D110" s="396">
        <f>SUM(D103:D104)</f>
        <v>8613929013.9006119</v>
      </c>
      <c r="F110" s="396"/>
      <c r="H110" s="396"/>
    </row>
    <row r="111" spans="1:1024" x14ac:dyDescent="0.25">
      <c r="D111" s="396"/>
      <c r="F111" s="396"/>
      <c r="H111" s="396"/>
    </row>
    <row r="114" spans="3:6" x14ac:dyDescent="0.25">
      <c r="C114" s="396"/>
      <c r="D114" s="396"/>
      <c r="F114" s="396"/>
    </row>
    <row r="115" spans="3:6" x14ac:dyDescent="0.25">
      <c r="C115" s="396"/>
      <c r="D115" s="396"/>
    </row>
    <row r="116" spans="3:6" x14ac:dyDescent="0.25">
      <c r="C116" s="396"/>
      <c r="D116" s="396"/>
    </row>
    <row r="117" spans="3:6" x14ac:dyDescent="0.25">
      <c r="C117" s="396"/>
      <c r="D117" s="396"/>
    </row>
    <row r="118" spans="3:6" x14ac:dyDescent="0.25">
      <c r="D118" s="396"/>
    </row>
    <row r="119" spans="3:6" x14ac:dyDescent="0.25">
      <c r="D119" s="396"/>
    </row>
    <row r="120" spans="3:6" x14ac:dyDescent="0.25">
      <c r="D120" s="396"/>
    </row>
    <row r="121" spans="3:6" x14ac:dyDescent="0.25">
      <c r="D121" s="396"/>
    </row>
  </sheetData>
  <mergeCells count="103">
    <mergeCell ref="T3:T4"/>
    <mergeCell ref="A7:A8"/>
    <mergeCell ref="B7:B8"/>
    <mergeCell ref="A9:A10"/>
    <mergeCell ref="B9:B10"/>
    <mergeCell ref="A11:A12"/>
    <mergeCell ref="B11:B12"/>
    <mergeCell ref="A13:A14"/>
    <mergeCell ref="B13:B14"/>
    <mergeCell ref="A3:A4"/>
    <mergeCell ref="B3:B6"/>
    <mergeCell ref="C3:C6"/>
    <mergeCell ref="D3:G3"/>
    <mergeCell ref="I3:M3"/>
    <mergeCell ref="N3:N4"/>
    <mergeCell ref="O3:O4"/>
    <mergeCell ref="P3:P4"/>
    <mergeCell ref="S3:S4"/>
    <mergeCell ref="A15:A16"/>
    <mergeCell ref="B15:B16"/>
    <mergeCell ref="A17:A18"/>
    <mergeCell ref="B17:B18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2"/>
    <mergeCell ref="B49:B50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9:A100"/>
    <mergeCell ref="B99:B100"/>
    <mergeCell ref="A101:A102"/>
    <mergeCell ref="B101:B102"/>
    <mergeCell ref="A103:A104"/>
    <mergeCell ref="B103:B104"/>
    <mergeCell ref="A91:A92"/>
    <mergeCell ref="B91:B92"/>
    <mergeCell ref="A93:A94"/>
    <mergeCell ref="B93:B94"/>
    <mergeCell ref="A95:A96"/>
    <mergeCell ref="B95:B96"/>
    <mergeCell ref="A97:A98"/>
    <mergeCell ref="B97:B98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activeCell="F20" sqref="F20"/>
    </sheetView>
  </sheetViews>
  <sheetFormatPr defaultRowHeight="15" x14ac:dyDescent="0.25"/>
  <cols>
    <col min="1" max="1" width="12.28515625"/>
    <col min="2" max="2" width="23.140625"/>
    <col min="3" max="3" width="8.7109375"/>
    <col min="4" max="4" width="15.140625" style="321"/>
    <col min="5" max="5" width="20.5703125"/>
    <col min="6" max="6" width="20.7109375" style="321"/>
    <col min="7" max="7" width="24.7109375" style="321"/>
    <col min="8" max="8" width="23.5703125"/>
    <col min="9" max="9" width="8.7109375"/>
    <col min="10" max="10" width="17.85546875" style="321"/>
    <col min="11" max="11" width="21.42578125"/>
    <col min="12" max="12" width="22.28515625" style="321"/>
    <col min="13" max="13" width="22.5703125" style="321"/>
    <col min="14" max="14" width="23.85546875"/>
    <col min="15" max="1025" width="8.7109375"/>
  </cols>
  <sheetData>
    <row r="1" spans="1:14" ht="45" customHeight="1" x14ac:dyDescent="0.25">
      <c r="A1" s="322">
        <f>'Plan finan. SzOOP'!D11+'Plan finan. SzOOP'!D12</f>
        <v>1879958563</v>
      </c>
      <c r="B1" s="594" t="s">
        <v>278</v>
      </c>
      <c r="D1" s="323" t="s">
        <v>279</v>
      </c>
      <c r="E1" s="595" t="s">
        <v>280</v>
      </c>
      <c r="F1" s="590" t="s">
        <v>281</v>
      </c>
      <c r="G1" s="590" t="s">
        <v>282</v>
      </c>
      <c r="H1" s="596" t="s">
        <v>283</v>
      </c>
      <c r="J1" s="323" t="s">
        <v>284</v>
      </c>
      <c r="K1" s="589" t="s">
        <v>280</v>
      </c>
      <c r="L1" s="590" t="s">
        <v>281</v>
      </c>
      <c r="M1" s="591" t="s">
        <v>282</v>
      </c>
      <c r="N1" s="592" t="s">
        <v>285</v>
      </c>
    </row>
    <row r="2" spans="1:14" x14ac:dyDescent="0.25">
      <c r="A2" s="325"/>
      <c r="B2" s="594"/>
      <c r="D2" s="326">
        <v>0.4</v>
      </c>
      <c r="E2" s="595"/>
      <c r="F2" s="590"/>
      <c r="G2" s="590"/>
      <c r="H2" s="596"/>
      <c r="J2" s="326">
        <v>0.6</v>
      </c>
      <c r="K2" s="589"/>
      <c r="L2" s="590"/>
      <c r="M2" s="591"/>
      <c r="N2" s="592"/>
    </row>
    <row r="3" spans="1:14" ht="62.25" customHeight="1" x14ac:dyDescent="0.25">
      <c r="A3" s="325"/>
      <c r="B3" s="594"/>
      <c r="D3" s="327">
        <f>A1*D2</f>
        <v>751983425.20000005</v>
      </c>
      <c r="E3" s="595"/>
      <c r="F3" s="590"/>
      <c r="G3" s="590"/>
      <c r="H3" s="596"/>
      <c r="J3" s="327">
        <f>A1*J2</f>
        <v>1127975137.8</v>
      </c>
      <c r="K3" s="589"/>
      <c r="L3" s="590"/>
      <c r="M3" s="591"/>
      <c r="N3" s="592"/>
    </row>
    <row r="4" spans="1:14" x14ac:dyDescent="0.25">
      <c r="A4" s="328" t="s">
        <v>286</v>
      </c>
      <c r="B4" s="329">
        <v>0.2</v>
      </c>
      <c r="D4" s="330">
        <f>$D$3*B4</f>
        <v>150396685.04000002</v>
      </c>
      <c r="E4" s="331">
        <v>0.4</v>
      </c>
      <c r="F4" s="332">
        <f>D4/E4-D4</f>
        <v>225595027.56</v>
      </c>
      <c r="G4" s="332">
        <f>D4+F4</f>
        <v>375991712.60000002</v>
      </c>
      <c r="H4" s="596"/>
      <c r="J4" s="330">
        <f>B4*$J$3</f>
        <v>225595027.56</v>
      </c>
      <c r="K4" s="333">
        <v>0.65</v>
      </c>
      <c r="L4" s="332">
        <f>J4/K4-J4</f>
        <v>121474245.60923076</v>
      </c>
      <c r="M4" s="334">
        <f>J4+L4</f>
        <v>347069273.16923076</v>
      </c>
      <c r="N4" s="592"/>
    </row>
    <row r="5" spans="1:14" x14ac:dyDescent="0.25">
      <c r="A5" s="335" t="s">
        <v>287</v>
      </c>
      <c r="B5" s="336">
        <v>0.2</v>
      </c>
      <c r="D5" s="337">
        <f>$D$3*B5</f>
        <v>150396685.04000002</v>
      </c>
      <c r="E5" s="338">
        <v>0.5</v>
      </c>
      <c r="F5" s="339">
        <f>D5/E5-D5</f>
        <v>150396685.04000002</v>
      </c>
      <c r="G5" s="339">
        <f>D5+F5</f>
        <v>300793370.08000004</v>
      </c>
      <c r="H5" s="596"/>
      <c r="J5" s="337">
        <f>B5*$J$3</f>
        <v>225595027.56</v>
      </c>
      <c r="K5" s="340">
        <v>0.75</v>
      </c>
      <c r="L5" s="339">
        <f>J5/K5-J5</f>
        <v>75198342.519999981</v>
      </c>
      <c r="M5" s="341">
        <f>J5+L5</f>
        <v>300793370.07999998</v>
      </c>
      <c r="N5" s="592"/>
    </row>
    <row r="6" spans="1:14" x14ac:dyDescent="0.25">
      <c r="A6" s="342" t="s">
        <v>288</v>
      </c>
      <c r="B6" s="343">
        <v>0.6</v>
      </c>
      <c r="D6" s="344">
        <f>$D$3*B6</f>
        <v>451190055.12</v>
      </c>
      <c r="E6" s="345">
        <v>0.6</v>
      </c>
      <c r="F6" s="346">
        <f>D6/E6-D6</f>
        <v>300793370.08000004</v>
      </c>
      <c r="G6" s="346">
        <f>D6+F6</f>
        <v>751983425.20000005</v>
      </c>
      <c r="H6" s="596"/>
      <c r="J6" s="347">
        <f>B6*$J$3</f>
        <v>676785082.67999995</v>
      </c>
      <c r="K6" s="348">
        <v>0.8</v>
      </c>
      <c r="L6" s="349">
        <f>J6/K6-J6</f>
        <v>169196270.66999996</v>
      </c>
      <c r="M6" s="350">
        <f>J6+L6</f>
        <v>845981353.3499999</v>
      </c>
      <c r="N6" s="592"/>
    </row>
    <row r="7" spans="1:14" x14ac:dyDescent="0.25">
      <c r="D7" s="351">
        <f>SUM(D4:D6)</f>
        <v>751983425.20000005</v>
      </c>
      <c r="E7" s="352"/>
      <c r="F7" s="353">
        <f>SUM(F4:F6)</f>
        <v>676785082.68000007</v>
      </c>
      <c r="G7" s="353">
        <f>SUM(G4:G6)</f>
        <v>1428768507.8800001</v>
      </c>
      <c r="H7" s="354">
        <f>D7/G7</f>
        <v>0.52631578947368418</v>
      </c>
      <c r="J7" s="355">
        <f>SUM(J4:J6)</f>
        <v>1127975137.8</v>
      </c>
      <c r="K7" s="356"/>
      <c r="L7" s="357">
        <f>SUM(L4:L6)</f>
        <v>365868858.79923069</v>
      </c>
      <c r="M7" s="358">
        <f>SUM(M4:M6)</f>
        <v>1493843996.5992308</v>
      </c>
      <c r="N7" s="359">
        <f>J7/M7</f>
        <v>0.75508228460793803</v>
      </c>
    </row>
    <row r="8" spans="1:14" x14ac:dyDescent="0.25">
      <c r="D8"/>
      <c r="F8"/>
      <c r="G8"/>
    </row>
    <row r="9" spans="1:14" ht="81.75" customHeight="1" x14ac:dyDescent="0.25">
      <c r="D9" s="324" t="s">
        <v>289</v>
      </c>
      <c r="E9" s="360"/>
      <c r="F9" s="361" t="s">
        <v>290</v>
      </c>
      <c r="G9" s="362" t="s">
        <v>291</v>
      </c>
      <c r="H9" s="363" t="s">
        <v>292</v>
      </c>
    </row>
    <row r="10" spans="1:14" x14ac:dyDescent="0.25">
      <c r="D10" s="364">
        <f>D7+J7</f>
        <v>1879958563</v>
      </c>
      <c r="F10" s="365">
        <f>F7+L7</f>
        <v>1042653941.4792308</v>
      </c>
      <c r="G10" s="366">
        <f>G7+M7</f>
        <v>2922612504.4792309</v>
      </c>
      <c r="H10" s="367">
        <f>D10/G10</f>
        <v>0.64324591786244434</v>
      </c>
    </row>
    <row r="11" spans="1:14" x14ac:dyDescent="0.25">
      <c r="D11"/>
      <c r="F11"/>
      <c r="G11"/>
    </row>
    <row r="12" spans="1:14" x14ac:dyDescent="0.25">
      <c r="D12"/>
      <c r="F12"/>
      <c r="G12"/>
    </row>
    <row r="13" spans="1:14" ht="35.25" customHeight="1" x14ac:dyDescent="0.25">
      <c r="A13" s="593" t="s">
        <v>293</v>
      </c>
      <c r="B13" s="593"/>
      <c r="C13" s="593"/>
      <c r="D13" s="593"/>
      <c r="E13" s="593"/>
      <c r="F13" s="593"/>
      <c r="G13" s="593"/>
      <c r="H13" s="593"/>
    </row>
  </sheetData>
  <mergeCells count="10">
    <mergeCell ref="K1:K3"/>
    <mergeCell ref="L1:L3"/>
    <mergeCell ref="M1:M3"/>
    <mergeCell ref="N1:N6"/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G1" sqref="G1:G3"/>
    </sheetView>
  </sheetViews>
  <sheetFormatPr defaultRowHeight="15" x14ac:dyDescent="0.25"/>
  <cols>
    <col min="1" max="1" width="11.5703125"/>
    <col min="2" max="2" width="31.5703125"/>
    <col min="4" max="4" width="12.85546875" style="321"/>
    <col min="5" max="5" width="20.5703125"/>
    <col min="6" max="7" width="20.5703125" style="321"/>
    <col min="8" max="8" width="23.85546875"/>
  </cols>
  <sheetData>
    <row r="1" spans="1:8" ht="45.75" customHeight="1" x14ac:dyDescent="0.25">
      <c r="A1" s="322">
        <f>'Plan finan. SzOOP'!D13+'Plan finan. SzOOP'!D14</f>
        <v>513310095</v>
      </c>
      <c r="B1" s="597" t="s">
        <v>294</v>
      </c>
      <c r="D1" s="368" t="s">
        <v>279</v>
      </c>
      <c r="E1" s="598" t="s">
        <v>280</v>
      </c>
      <c r="F1" s="599" t="s">
        <v>295</v>
      </c>
      <c r="G1" s="599" t="s">
        <v>296</v>
      </c>
      <c r="H1" s="592" t="s">
        <v>283</v>
      </c>
    </row>
    <row r="2" spans="1:8" x14ac:dyDescent="0.25">
      <c r="A2" s="325"/>
      <c r="B2" s="597"/>
      <c r="D2" s="326">
        <v>1</v>
      </c>
      <c r="E2" s="598"/>
      <c r="F2" s="599"/>
      <c r="G2" s="599"/>
      <c r="H2" s="592"/>
    </row>
    <row r="3" spans="1:8" ht="67.5" customHeight="1" x14ac:dyDescent="0.25">
      <c r="A3" s="325"/>
      <c r="B3" s="597"/>
      <c r="D3" s="351">
        <f>A1*D2</f>
        <v>513310095</v>
      </c>
      <c r="E3" s="598"/>
      <c r="F3" s="599"/>
      <c r="G3" s="599"/>
      <c r="H3" s="592"/>
    </row>
    <row r="4" spans="1:8" x14ac:dyDescent="0.25">
      <c r="A4" s="328" t="s">
        <v>286</v>
      </c>
      <c r="B4" s="371">
        <v>0.2</v>
      </c>
      <c r="D4" s="372">
        <f>B4*$D$3</f>
        <v>102662019</v>
      </c>
      <c r="E4" s="373">
        <v>0.4</v>
      </c>
      <c r="F4" s="374">
        <f>D4/E4-D4</f>
        <v>153993028.5</v>
      </c>
      <c r="G4" s="374">
        <f>D4+F4</f>
        <v>256655047.5</v>
      </c>
      <c r="H4" s="592"/>
    </row>
    <row r="5" spans="1:8" x14ac:dyDescent="0.25">
      <c r="A5" s="335" t="s">
        <v>287</v>
      </c>
      <c r="B5" s="336">
        <v>0.32</v>
      </c>
      <c r="D5" s="375">
        <f>B5*$D$3</f>
        <v>164259230.40000001</v>
      </c>
      <c r="E5" s="340">
        <v>0.5</v>
      </c>
      <c r="F5" s="339">
        <f>D5/E5-D5</f>
        <v>164259230.40000001</v>
      </c>
      <c r="G5" s="339">
        <f>D5+F5</f>
        <v>328518460.80000001</v>
      </c>
      <c r="H5" s="592"/>
    </row>
    <row r="6" spans="1:8" x14ac:dyDescent="0.25">
      <c r="A6" s="342" t="s">
        <v>288</v>
      </c>
      <c r="B6" s="343">
        <v>0.48</v>
      </c>
      <c r="D6" s="376">
        <f>B6*$D$3</f>
        <v>246388845.59999999</v>
      </c>
      <c r="E6" s="348">
        <v>0.6</v>
      </c>
      <c r="F6" s="349">
        <f>D6/E6-D6</f>
        <v>164259230.40000001</v>
      </c>
      <c r="G6" s="349">
        <f>D6+F6</f>
        <v>410648076</v>
      </c>
      <c r="H6" s="592"/>
    </row>
    <row r="7" spans="1:8" x14ac:dyDescent="0.25">
      <c r="D7" s="377">
        <f>SUM(D4:D6)</f>
        <v>513310095</v>
      </c>
      <c r="E7" s="356"/>
      <c r="F7" s="357">
        <f>SUM(F4:F6)</f>
        <v>482511489.29999995</v>
      </c>
      <c r="G7" s="357">
        <f>SUM(G4:G6)</f>
        <v>995821584.29999995</v>
      </c>
      <c r="H7" s="378">
        <f>D7/G7</f>
        <v>0.51546391752577325</v>
      </c>
    </row>
    <row r="8" spans="1:8" x14ac:dyDescent="0.25">
      <c r="D8"/>
      <c r="F8"/>
      <c r="G8"/>
    </row>
    <row r="9" spans="1:8" x14ac:dyDescent="0.25">
      <c r="D9"/>
      <c r="F9"/>
      <c r="G9"/>
    </row>
    <row r="10" spans="1:8" x14ac:dyDescent="0.25">
      <c r="D10"/>
      <c r="F10"/>
      <c r="G10"/>
    </row>
    <row r="11" spans="1:8" x14ac:dyDescent="0.25">
      <c r="D11"/>
      <c r="F11"/>
      <c r="G11"/>
    </row>
    <row r="12" spans="1:8" x14ac:dyDescent="0.25">
      <c r="D12"/>
      <c r="F12"/>
      <c r="G12"/>
    </row>
    <row r="13" spans="1:8" ht="39.75" customHeight="1" x14ac:dyDescent="0.25">
      <c r="A13" s="593" t="s">
        <v>293</v>
      </c>
      <c r="B13" s="593"/>
      <c r="C13" s="593"/>
      <c r="D13" s="593"/>
      <c r="E13" s="593"/>
      <c r="F13" s="593"/>
      <c r="G13" s="593"/>
      <c r="H13" s="593"/>
    </row>
  </sheetData>
  <mergeCells count="6">
    <mergeCell ref="A13:H13"/>
    <mergeCell ref="B1:B3"/>
    <mergeCell ref="E1:E3"/>
    <mergeCell ref="F1:F3"/>
    <mergeCell ref="G1:G3"/>
    <mergeCell ref="H1:H6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Plan finansowy</vt:lpstr>
      <vt:lpstr>Tabela zobowiązań do SFC</vt:lpstr>
      <vt:lpstr>Tabela zobowiązań - prosta</vt:lpstr>
      <vt:lpstr>Arkusz2</vt:lpstr>
      <vt:lpstr>Kody kategorii interwencji</vt:lpstr>
      <vt:lpstr>matryca logiczna</vt:lpstr>
      <vt:lpstr>Plan finan. SzOOP</vt:lpstr>
      <vt:lpstr>szybka scieżka 1.1.1</vt:lpstr>
      <vt:lpstr>demonstrator 1.1.2</vt:lpstr>
      <vt:lpstr>sektorowe 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Małecki</dc:creator>
  <cp:lastModifiedBy>Lukasz Małecki</cp:lastModifiedBy>
  <cp:revision>6</cp:revision>
  <cp:lastPrinted>2014-11-27T16:23:01Z</cp:lastPrinted>
  <dcterms:created xsi:type="dcterms:W3CDTF">2006-09-16T00:00:00Z</dcterms:created>
  <dcterms:modified xsi:type="dcterms:W3CDTF">2017-12-21T09:56:01Z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